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6"/>
  <workbookPr defaultThemeVersion="166925"/>
  <mc:AlternateContent xmlns:mc="http://schemas.openxmlformats.org/markup-compatibility/2006">
    <mc:Choice Requires="x15">
      <x15ac:absPath xmlns:x15ac="http://schemas.microsoft.com/office/spreadsheetml/2010/11/ac" url="\\Holtbizserver\d\Holt Biz Consulting Desktop Files\FY24\Budgets\sPRING 2024\"/>
    </mc:Choice>
  </mc:AlternateContent>
  <xr:revisionPtr revIDLastSave="5" documentId="13_ncr:1_{4E9C2754-9BB8-4635-97CC-79BE39A1B1A1}" xr6:coauthVersionLast="47" xr6:coauthVersionMax="47" xr10:uidLastSave="{69D80463-6F34-4F01-9514-53E0E37B84BC}"/>
  <bookViews>
    <workbookView xWindow="16050" yWindow="590" windowWidth="23870" windowHeight="18710" xr2:uid="{B8661D51-BE64-40D3-A21A-2DEF80BAF30B}"/>
  </bookViews>
  <sheets>
    <sheet name="Forecast Spring 24" sheetId="1" r:id="rId1"/>
    <sheet name="Spring workshee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G20" i="1"/>
  <c r="F20" i="1"/>
  <c r="F34" i="1" l="1"/>
  <c r="F35" i="1"/>
  <c r="F16" i="1"/>
  <c r="F13" i="1"/>
  <c r="Z20" i="2"/>
  <c r="E85" i="1"/>
  <c r="AD83" i="2"/>
  <c r="E16" i="1"/>
  <c r="AD20" i="2"/>
  <c r="AH44" i="2"/>
  <c r="AH40" i="2" l="1"/>
  <c r="AH39" i="2"/>
  <c r="AH38" i="2"/>
  <c r="AB10" i="2"/>
  <c r="AF10" i="2" s="1"/>
  <c r="E13" i="1" s="1"/>
  <c r="AD10" i="2"/>
  <c r="AD13" i="2" s="1"/>
  <c r="E80" i="1"/>
  <c r="I44" i="1"/>
  <c r="E76" i="1"/>
  <c r="E75" i="1"/>
  <c r="E77" i="1"/>
  <c r="E78" i="1"/>
  <c r="E79" i="1"/>
  <c r="E82" i="1"/>
  <c r="E84" i="1"/>
  <c r="E87" i="1"/>
  <c r="E88" i="1"/>
  <c r="E91" i="1"/>
  <c r="E26" i="1"/>
  <c r="E23" i="1"/>
  <c r="G16" i="1"/>
  <c r="H16" i="1" s="1"/>
  <c r="I16" i="1" s="1"/>
  <c r="E35" i="1"/>
  <c r="E21" i="1"/>
  <c r="E20" i="1"/>
  <c r="AB16" i="2"/>
  <c r="AF16" i="2" s="1"/>
  <c r="AB15" i="2"/>
  <c r="AF15" i="2" s="1"/>
  <c r="AF12" i="2"/>
  <c r="Z6" i="2"/>
  <c r="Z63" i="2"/>
  <c r="AF63" i="2" s="1"/>
  <c r="AB84" i="2"/>
  <c r="Z84" i="2"/>
  <c r="Z86" i="2" s="1"/>
  <c r="Z46" i="2"/>
  <c r="AF46" i="2" s="1"/>
  <c r="Z45" i="2"/>
  <c r="AF45" i="2" s="1"/>
  <c r="Z42" i="2"/>
  <c r="AF42" i="2" s="1"/>
  <c r="AD104" i="2"/>
  <c r="AB104" i="2"/>
  <c r="Z104" i="2"/>
  <c r="X104" i="2"/>
  <c r="V104" i="2"/>
  <c r="T104" i="2"/>
  <c r="R104" i="2"/>
  <c r="P104" i="2"/>
  <c r="N104" i="2"/>
  <c r="L104" i="2"/>
  <c r="J104" i="2"/>
  <c r="H104" i="2"/>
  <c r="AF104" i="2" s="1"/>
  <c r="AF103" i="2"/>
  <c r="AF102" i="2"/>
  <c r="AF101" i="2"/>
  <c r="AF100" i="2"/>
  <c r="AF99" i="2"/>
  <c r="AD97" i="2"/>
  <c r="AB97" i="2"/>
  <c r="Z97" i="2"/>
  <c r="X97" i="2"/>
  <c r="V97" i="2"/>
  <c r="T97" i="2"/>
  <c r="R97" i="2"/>
  <c r="P97" i="2"/>
  <c r="N97" i="2"/>
  <c r="L97" i="2"/>
  <c r="J97" i="2"/>
  <c r="H97" i="2"/>
  <c r="AF97" i="2" s="1"/>
  <c r="AF96" i="2"/>
  <c r="AF95" i="2"/>
  <c r="AF94" i="2"/>
  <c r="AF93" i="2"/>
  <c r="AF92" i="2"/>
  <c r="AF91" i="2"/>
  <c r="AF90" i="2"/>
  <c r="AF89" i="2"/>
  <c r="AF88" i="2"/>
  <c r="AB86" i="2"/>
  <c r="X86" i="2"/>
  <c r="V86" i="2"/>
  <c r="T86" i="2"/>
  <c r="R86" i="2"/>
  <c r="J86" i="2"/>
  <c r="AF85" i="2"/>
  <c r="AF83" i="2"/>
  <c r="E90" i="1" s="1"/>
  <c r="AF82" i="2"/>
  <c r="AF81" i="2"/>
  <c r="AF80" i="2"/>
  <c r="AF79" i="2"/>
  <c r="AF78" i="2"/>
  <c r="AF77" i="2"/>
  <c r="AF76" i="2"/>
  <c r="AF75" i="2"/>
  <c r="AF74" i="2"/>
  <c r="AF73" i="2"/>
  <c r="AF72" i="2"/>
  <c r="AF71" i="2"/>
  <c r="AF70" i="2"/>
  <c r="AF69" i="2"/>
  <c r="E74" i="1" s="1"/>
  <c r="AF68" i="2"/>
  <c r="AF67" i="2"/>
  <c r="AF66" i="2"/>
  <c r="AF65" i="2"/>
  <c r="AF64" i="2"/>
  <c r="AF62" i="2"/>
  <c r="AF61" i="2"/>
  <c r="AF60" i="2"/>
  <c r="AF59" i="2"/>
  <c r="AF58" i="2"/>
  <c r="AF57" i="2"/>
  <c r="AF56" i="2"/>
  <c r="AF55" i="2"/>
  <c r="AF54" i="2"/>
  <c r="AD53" i="2"/>
  <c r="AD86" i="2" s="1"/>
  <c r="AB53" i="2"/>
  <c r="Z53" i="2"/>
  <c r="X53" i="2"/>
  <c r="V53" i="2"/>
  <c r="T53" i="2"/>
  <c r="R53" i="2"/>
  <c r="P53" i="2"/>
  <c r="P86" i="2" s="1"/>
  <c r="N53" i="2"/>
  <c r="N86" i="2" s="1"/>
  <c r="L53" i="2"/>
  <c r="L86" i="2" s="1"/>
  <c r="J53" i="2"/>
  <c r="H53" i="2"/>
  <c r="H86" i="2" s="1"/>
  <c r="AF52" i="2"/>
  <c r="AF51" i="2"/>
  <c r="AF49" i="2"/>
  <c r="AD47" i="2"/>
  <c r="AB47" i="2"/>
  <c r="X47" i="2"/>
  <c r="V47" i="2"/>
  <c r="T47" i="2"/>
  <c r="R47" i="2"/>
  <c r="P47" i="2"/>
  <c r="N47" i="2"/>
  <c r="N105" i="2" s="1"/>
  <c r="L47" i="2"/>
  <c r="J47" i="2"/>
  <c r="H47" i="2"/>
  <c r="AF44" i="2"/>
  <c r="AF43" i="2"/>
  <c r="AF41" i="2"/>
  <c r="AD39" i="2"/>
  <c r="AB39" i="2"/>
  <c r="Z39" i="2"/>
  <c r="X39" i="2"/>
  <c r="X105" i="2" s="1"/>
  <c r="V39" i="2"/>
  <c r="V105" i="2" s="1"/>
  <c r="T39" i="2"/>
  <c r="T105" i="2" s="1"/>
  <c r="R39" i="2"/>
  <c r="R105" i="2" s="1"/>
  <c r="P39" i="2"/>
  <c r="N39" i="2"/>
  <c r="L39" i="2"/>
  <c r="L105" i="2" s="1"/>
  <c r="J39" i="2"/>
  <c r="J105" i="2" s="1"/>
  <c r="H39" i="2"/>
  <c r="AF38" i="2"/>
  <c r="AF37" i="2"/>
  <c r="AF36" i="2"/>
  <c r="AF35" i="2"/>
  <c r="AF34" i="2"/>
  <c r="AF33" i="2"/>
  <c r="AF32" i="2"/>
  <c r="AF31" i="2"/>
  <c r="AF30" i="2"/>
  <c r="AF29" i="2"/>
  <c r="AF28" i="2"/>
  <c r="AF27" i="2"/>
  <c r="P23" i="2"/>
  <c r="P24" i="2" s="1"/>
  <c r="AF22" i="2"/>
  <c r="AD21" i="2"/>
  <c r="AB21" i="2"/>
  <c r="Z21" i="2"/>
  <c r="X21" i="2"/>
  <c r="V21" i="2"/>
  <c r="T21" i="2"/>
  <c r="R21" i="2"/>
  <c r="R23" i="2" s="1"/>
  <c r="R24" i="2" s="1"/>
  <c r="P21" i="2"/>
  <c r="N21" i="2"/>
  <c r="L21" i="2"/>
  <c r="J21" i="2"/>
  <c r="H21" i="2"/>
  <c r="AF20" i="2"/>
  <c r="AD18" i="2"/>
  <c r="Z18" i="2"/>
  <c r="X18" i="2"/>
  <c r="V18" i="2"/>
  <c r="T18" i="2"/>
  <c r="R18" i="2"/>
  <c r="P18" i="2"/>
  <c r="N18" i="2"/>
  <c r="L18" i="2"/>
  <c r="J18" i="2"/>
  <c r="H18" i="2"/>
  <c r="AF17" i="2"/>
  <c r="Z13" i="2"/>
  <c r="X13" i="2"/>
  <c r="V13" i="2"/>
  <c r="T13" i="2"/>
  <c r="R13" i="2"/>
  <c r="P13" i="2"/>
  <c r="N13" i="2"/>
  <c r="L13" i="2"/>
  <c r="J13" i="2"/>
  <c r="H13" i="2"/>
  <c r="AF11" i="2"/>
  <c r="AD8" i="2"/>
  <c r="AB8" i="2"/>
  <c r="Z8" i="2"/>
  <c r="X8" i="2"/>
  <c r="X23" i="2" s="1"/>
  <c r="X24" i="2" s="1"/>
  <c r="X106" i="2" s="1"/>
  <c r="X107" i="2" s="1"/>
  <c r="V8" i="2"/>
  <c r="V23" i="2" s="1"/>
  <c r="V24" i="2" s="1"/>
  <c r="T8" i="2"/>
  <c r="T23" i="2" s="1"/>
  <c r="T24" i="2" s="1"/>
  <c r="R8" i="2"/>
  <c r="P8" i="2"/>
  <c r="N8" i="2"/>
  <c r="N23" i="2" s="1"/>
  <c r="N24" i="2" s="1"/>
  <c r="L8" i="2"/>
  <c r="L23" i="2" s="1"/>
  <c r="L24" i="2" s="1"/>
  <c r="J8" i="2"/>
  <c r="J23" i="2" s="1"/>
  <c r="J24" i="2" s="1"/>
  <c r="J106" i="2" s="1"/>
  <c r="J107" i="2" s="1"/>
  <c r="H8" i="2"/>
  <c r="H23" i="2" s="1"/>
  <c r="AF7" i="2"/>
  <c r="AF6" i="2"/>
  <c r="AF4" i="2"/>
  <c r="E38" i="1" s="1"/>
  <c r="C116" i="1"/>
  <c r="F114" i="1"/>
  <c r="F113" i="1"/>
  <c r="F110" i="1"/>
  <c r="F116" i="1" s="1"/>
  <c r="E110" i="1"/>
  <c r="E116" i="1" s="1"/>
  <c r="D110" i="1"/>
  <c r="D116" i="1" s="1"/>
  <c r="D102" i="1"/>
  <c r="C102" i="1"/>
  <c r="B102" i="1"/>
  <c r="D101" i="1"/>
  <c r="C101" i="1"/>
  <c r="B101" i="1"/>
  <c r="C100" i="1"/>
  <c r="B100" i="1"/>
  <c r="I99" i="1"/>
  <c r="H99" i="1"/>
  <c r="G99" i="1"/>
  <c r="F99" i="1"/>
  <c r="E99" i="1"/>
  <c r="D99" i="1"/>
  <c r="C99" i="1"/>
  <c r="B99" i="1"/>
  <c r="E98" i="1"/>
  <c r="D98" i="1"/>
  <c r="C98" i="1"/>
  <c r="B98" i="1"/>
  <c r="I96" i="1"/>
  <c r="F96" i="1"/>
  <c r="E96" i="1"/>
  <c r="D96" i="1"/>
  <c r="D97" i="1" s="1"/>
  <c r="C96" i="1"/>
  <c r="C97" i="1" s="1"/>
  <c r="B97" i="1"/>
  <c r="C92" i="1"/>
  <c r="C22" i="1" s="1"/>
  <c r="B92" i="1"/>
  <c r="B22" i="1" s="1"/>
  <c r="D87" i="1"/>
  <c r="D92" i="1" s="1"/>
  <c r="D22" i="1" s="1"/>
  <c r="D28" i="1" s="1"/>
  <c r="I85" i="1"/>
  <c r="H85" i="1"/>
  <c r="G85" i="1"/>
  <c r="F85" i="1"/>
  <c r="D85" i="1"/>
  <c r="E83" i="1"/>
  <c r="D75" i="1"/>
  <c r="F68" i="1"/>
  <c r="F98" i="1" s="1"/>
  <c r="C53" i="1"/>
  <c r="D51" i="1" s="1"/>
  <c r="C51" i="1"/>
  <c r="F44" i="1"/>
  <c r="D44" i="1"/>
  <c r="F41" i="1"/>
  <c r="G41" i="1" s="1"/>
  <c r="D35" i="1"/>
  <c r="I23" i="1"/>
  <c r="H23" i="1"/>
  <c r="G23" i="1"/>
  <c r="F23" i="1"/>
  <c r="F21" i="1"/>
  <c r="G21" i="1" s="1"/>
  <c r="H21" i="1" s="1"/>
  <c r="I21" i="1" s="1"/>
  <c r="O18" i="1"/>
  <c r="P18" i="1" s="1"/>
  <c r="N19" i="1" s="1"/>
  <c r="P19" i="1" s="1"/>
  <c r="N20" i="1" s="1"/>
  <c r="P20" i="1" s="1"/>
  <c r="D16" i="1"/>
  <c r="C16" i="1"/>
  <c r="P15" i="1"/>
  <c r="P14" i="1"/>
  <c r="P13" i="1"/>
  <c r="D13" i="1"/>
  <c r="D17" i="1" s="1"/>
  <c r="D31" i="1" s="1"/>
  <c r="D49" i="1" s="1"/>
  <c r="C13" i="1"/>
  <c r="C17" i="1" s="1"/>
  <c r="D100" i="1" s="1"/>
  <c r="P12" i="1"/>
  <c r="P11" i="1"/>
  <c r="E34" i="1" l="1"/>
  <c r="E44" i="1" s="1"/>
  <c r="F101" i="1" s="1"/>
  <c r="AH45" i="2"/>
  <c r="AH46" i="2" s="1"/>
  <c r="E92" i="1"/>
  <c r="AF21" i="2"/>
  <c r="Z23" i="2"/>
  <c r="Z24" i="2" s="1"/>
  <c r="AD23" i="2"/>
  <c r="AD24" i="2" s="1"/>
  <c r="AB18" i="2"/>
  <c r="AF18" i="2"/>
  <c r="AB13" i="2"/>
  <c r="AB23" i="2" s="1"/>
  <c r="AF84" i="2"/>
  <c r="AD105" i="2"/>
  <c r="AB105" i="2"/>
  <c r="Z47" i="2"/>
  <c r="Z105" i="2" s="1"/>
  <c r="AF39" i="2"/>
  <c r="H24" i="2"/>
  <c r="L106" i="2"/>
  <c r="L107" i="2" s="1"/>
  <c r="R106" i="2"/>
  <c r="R107" i="2" s="1"/>
  <c r="N106" i="2"/>
  <c r="N107" i="2" s="1"/>
  <c r="T106" i="2"/>
  <c r="T107" i="2" s="1"/>
  <c r="V106" i="2"/>
  <c r="V107" i="2" s="1"/>
  <c r="H105" i="2"/>
  <c r="AF86" i="2"/>
  <c r="P105" i="2"/>
  <c r="P106" i="2" s="1"/>
  <c r="P107" i="2" s="1"/>
  <c r="AF8" i="2"/>
  <c r="AF53" i="2"/>
  <c r="D53" i="1"/>
  <c r="E51" i="1" s="1"/>
  <c r="F17" i="1"/>
  <c r="G13" i="1"/>
  <c r="G44" i="1"/>
  <c r="G101" i="1" s="1"/>
  <c r="G96" i="1"/>
  <c r="H41" i="1"/>
  <c r="G68" i="1"/>
  <c r="E17" i="1"/>
  <c r="E22" i="1" l="1"/>
  <c r="E28" i="1" s="1"/>
  <c r="B138" i="1" s="1"/>
  <c r="E101" i="1"/>
  <c r="Z106" i="2"/>
  <c r="Z107" i="2" s="1"/>
  <c r="AD106" i="2"/>
  <c r="AD107" i="2" s="1"/>
  <c r="AB24" i="2"/>
  <c r="AF24" i="2" s="1"/>
  <c r="AF23" i="2"/>
  <c r="AF13" i="2"/>
  <c r="AF47" i="2"/>
  <c r="AF105" i="2"/>
  <c r="H106" i="2"/>
  <c r="E100" i="1"/>
  <c r="G98" i="1"/>
  <c r="H68" i="1"/>
  <c r="H96" i="1"/>
  <c r="H44" i="1"/>
  <c r="G17" i="1"/>
  <c r="H13" i="1"/>
  <c r="F79" i="1"/>
  <c r="F92" i="1" s="1"/>
  <c r="F22" i="1" s="1"/>
  <c r="F28" i="1" s="1"/>
  <c r="B139" i="1" s="1"/>
  <c r="F100" i="1"/>
  <c r="E102" i="1" l="1"/>
  <c r="E31" i="1"/>
  <c r="AB106" i="2"/>
  <c r="AB107" i="2" s="1"/>
  <c r="H107" i="2"/>
  <c r="H17" i="1"/>
  <c r="I13" i="1"/>
  <c r="I17" i="1" s="1"/>
  <c r="G79" i="1"/>
  <c r="G92" i="1" s="1"/>
  <c r="G22" i="1" s="1"/>
  <c r="G28" i="1" s="1"/>
  <c r="B140" i="1" s="1"/>
  <c r="G100" i="1"/>
  <c r="F31" i="1"/>
  <c r="H101" i="1"/>
  <c r="I101" i="1"/>
  <c r="E97" i="1"/>
  <c r="E49" i="1"/>
  <c r="E53" i="1" s="1"/>
  <c r="F51" i="1" s="1"/>
  <c r="F102" i="1" s="1"/>
  <c r="I20" i="1"/>
  <c r="H98" i="1"/>
  <c r="I68" i="1"/>
  <c r="I98" i="1" s="1"/>
  <c r="G31" i="1" l="1"/>
  <c r="G97" i="1" s="1"/>
  <c r="AF106" i="2"/>
  <c r="AF107" i="2"/>
  <c r="F49" i="1"/>
  <c r="F53" i="1" s="1"/>
  <c r="G51" i="1" s="1"/>
  <c r="G102" i="1" s="1"/>
  <c r="F97" i="1"/>
  <c r="I79" i="1"/>
  <c r="I92" i="1" s="1"/>
  <c r="I22" i="1" s="1"/>
  <c r="I28" i="1" s="1"/>
  <c r="I100" i="1"/>
  <c r="H100" i="1"/>
  <c r="H79" i="1"/>
  <c r="H92" i="1" s="1"/>
  <c r="H22" i="1" s="1"/>
  <c r="H28" i="1" s="1"/>
  <c r="B141" i="1" s="1"/>
  <c r="G49" i="1" l="1"/>
  <c r="G53" i="1" s="1"/>
  <c r="H51" i="1" s="1"/>
  <c r="H102" i="1" s="1"/>
  <c r="B142" i="1"/>
  <c r="I31" i="1"/>
  <c r="H31" i="1"/>
  <c r="H97" i="1" l="1"/>
  <c r="H49" i="1"/>
  <c r="H53" i="1" s="1"/>
  <c r="I51" i="1" s="1"/>
  <c r="I102" i="1" s="1"/>
  <c r="I97" i="1"/>
  <c r="I49" i="1"/>
  <c r="I53" i="1" s="1"/>
</calcChain>
</file>

<file path=xl/sharedStrings.xml><?xml version="1.0" encoding="utf-8"?>
<sst xmlns="http://schemas.openxmlformats.org/spreadsheetml/2006/main" count="276" uniqueCount="256">
  <si>
    <t>FY24- 05-31-24 submission</t>
  </si>
  <si>
    <t>IRN No.: 134197</t>
  </si>
  <si>
    <t>County:</t>
  </si>
  <si>
    <t>Cuyahoga</t>
  </si>
  <si>
    <t>Type of School: Brick and Mortar</t>
  </si>
  <si>
    <t>Contract Term: 6/30/24</t>
  </si>
  <si>
    <t>School Name:</t>
  </si>
  <si>
    <t>Green Inspiration Academy</t>
  </si>
  <si>
    <t>Statement of Receipt, Disbursements, and Changes in Fund Cash Balances</t>
  </si>
  <si>
    <t>For the Fiscal Years Ended 2021 through 2023, Actual and</t>
  </si>
  <si>
    <t>the Fiscal Years Ending 2024 through 2028, Forecasted</t>
  </si>
  <si>
    <t>Actual</t>
  </si>
  <si>
    <t>Forecasted</t>
  </si>
  <si>
    <t>Fiscal Year</t>
  </si>
  <si>
    <t>Operating Receipts</t>
  </si>
  <si>
    <t>State Foundation Payments (3110, 3211)</t>
  </si>
  <si>
    <t>Charges for Services (1500)</t>
  </si>
  <si>
    <t>Fees (1600, 1700)</t>
  </si>
  <si>
    <t>Other (1830, 1840, 1850, 1860, 1870, 1890, 3190)</t>
  </si>
  <si>
    <t>Total Operating Receipts</t>
  </si>
  <si>
    <t>Operating Disbursements</t>
  </si>
  <si>
    <t>100 Salaries and Wages</t>
  </si>
  <si>
    <t>200 Employee Retirement and Insurance Benefits</t>
  </si>
  <si>
    <t>400 Purchased Services</t>
  </si>
  <si>
    <t>500 Supplies and Materials</t>
  </si>
  <si>
    <t>600 Capital Outlay -New</t>
  </si>
  <si>
    <t>700 Capital Outlay - Replacement</t>
  </si>
  <si>
    <t>800 Other</t>
  </si>
  <si>
    <t>819 Other Debt</t>
  </si>
  <si>
    <t>Total Operating Disbursements</t>
  </si>
  <si>
    <t>Excess of Operating Receipts Over (Under)</t>
  </si>
  <si>
    <t>Nonoperating Receipts/(Disbursements)</t>
  </si>
  <si>
    <t>Federal Grants (all 4000 except fund 532)</t>
  </si>
  <si>
    <t>State Grants (3200, except 3211)</t>
  </si>
  <si>
    <t>Restricted Grants (3219, Community School Facilities Grant)</t>
  </si>
  <si>
    <t>Donations (1820)</t>
  </si>
  <si>
    <t>Interest Income (1400)</t>
  </si>
  <si>
    <t>Debt Proceeds (1900)</t>
  </si>
  <si>
    <t>Debt Principal Retirement</t>
  </si>
  <si>
    <t>Interest and Fiscal Charges</t>
  </si>
  <si>
    <t>Transfers - In</t>
  </si>
  <si>
    <t>Transfers - Out</t>
  </si>
  <si>
    <t>Total Nonoperating Revenues/(Expenses)</t>
  </si>
  <si>
    <t>Excess of Operating and Nonoperating Receipts</t>
  </si>
  <si>
    <t>Over/(Under) Operating and Nonoperating</t>
  </si>
  <si>
    <t>Disbursements</t>
  </si>
  <si>
    <t>Fund Cash Balance Beginning of Fiscal Year</t>
  </si>
  <si>
    <t>Fund Cash Balance End of Fiscal Year</t>
  </si>
  <si>
    <t>Disclosure Items for State Fiscal Stabilization Funds</t>
  </si>
  <si>
    <t>Personal Services SFSF</t>
  </si>
  <si>
    <t>Employees Retirement/Insurance Benefits SFSF</t>
  </si>
  <si>
    <t>Purchased Services SFSF</t>
  </si>
  <si>
    <t>Supplies and Materials SFSF</t>
  </si>
  <si>
    <t>Capital Outlay SFSF</t>
  </si>
  <si>
    <t>Total Expenditures - SDFSF</t>
  </si>
  <si>
    <t>Assumptions</t>
  </si>
  <si>
    <t>Staffing/Enrollment</t>
  </si>
  <si>
    <t>Total Student FTE</t>
  </si>
  <si>
    <t>Instructional Staff</t>
  </si>
  <si>
    <t>Administrative Staff</t>
  </si>
  <si>
    <t>Other Staff</t>
  </si>
  <si>
    <t>Purchased Services</t>
  </si>
  <si>
    <t>Rent</t>
  </si>
  <si>
    <t>Utilities</t>
  </si>
  <si>
    <t>Other Facility Costs</t>
  </si>
  <si>
    <t>Insurance</t>
  </si>
  <si>
    <t>Management Fee</t>
  </si>
  <si>
    <t>Sponsor Fee</t>
  </si>
  <si>
    <t>Accounting and Audit Fees</t>
  </si>
  <si>
    <t>Contingency</t>
  </si>
  <si>
    <t>Transportation</t>
  </si>
  <si>
    <t>Legal</t>
  </si>
  <si>
    <t>Marketing</t>
  </si>
  <si>
    <t>Consulting</t>
  </si>
  <si>
    <t>Salaries and Wages</t>
  </si>
  <si>
    <t>Technology Services</t>
  </si>
  <si>
    <t>Special Education Services</t>
  </si>
  <si>
    <t>Support Services</t>
  </si>
  <si>
    <t>Food Services</t>
  </si>
  <si>
    <t xml:space="preserve">Other  </t>
  </si>
  <si>
    <t>Total</t>
  </si>
  <si>
    <t>Financial Metrics</t>
  </si>
  <si>
    <t>Debt Service Payments</t>
  </si>
  <si>
    <t>Debt Service Coverage</t>
  </si>
  <si>
    <t>Growth in Enrollment</t>
  </si>
  <si>
    <t>Growth in New Capital Outlay</t>
  </si>
  <si>
    <t>Growth in Operating Receipts</t>
  </si>
  <si>
    <t>Growth in Non-Operating Receipts/Expenses</t>
  </si>
  <si>
    <t>Days of Cash</t>
  </si>
  <si>
    <t>Assumptions Narrative Summary</t>
  </si>
  <si>
    <t>Fiscal Year 2023-2028 Projected Debt</t>
  </si>
  <si>
    <t>Description</t>
  </si>
  <si>
    <t>Beginning
Year Balance</t>
  </si>
  <si>
    <t>Principle Retirement</t>
  </si>
  <si>
    <t>Interest Expense</t>
  </si>
  <si>
    <t>Ending
Year Balance</t>
  </si>
  <si>
    <t>Debitor/
Creditor</t>
  </si>
  <si>
    <t>FTE Review</t>
  </si>
  <si>
    <t>Loan A</t>
  </si>
  <si>
    <t>Loan B</t>
  </si>
  <si>
    <t>Invictus High School</t>
  </si>
  <si>
    <t>Notes, Bonds</t>
  </si>
  <si>
    <t>Capital Leases</t>
  </si>
  <si>
    <t>i</t>
  </si>
  <si>
    <t>Payables (Past Due 180+ days)</t>
  </si>
  <si>
    <t>Dinsmore/First Funding/whtehat</t>
  </si>
  <si>
    <t>1) Enrollment Trends</t>
  </si>
  <si>
    <t>Enrollment is assumed at 144 in FY 24 and will gradually increase by 10%</t>
  </si>
  <si>
    <t>2) Staffing levels</t>
  </si>
  <si>
    <t>Staffing is assumed to be 29 in FY 24 and will remain contant as enrollment increases(goal).  Employees are paid out of both general and federal grant funds. The forecast assumes changes in salary costs for years after FY 24.  For FY 25 and beyond, reduced expenditures by 87k due to rentention stipends.</t>
  </si>
  <si>
    <t>Benefits include Medicare, Workers’ Compensation, retirement and unemployment.  In addition, the school provides health insurance coverage to its staff.  Benefits are projected to be between 23% to 35% of salaries for FY 2024 – FY 2028.  3% cost of living increases projected for future years.</t>
  </si>
  <si>
    <t>3) Service levels</t>
  </si>
  <si>
    <t>Will be servicing Students K-8</t>
  </si>
  <si>
    <t>4) State foundation</t>
  </si>
  <si>
    <t>Based on annual foundation with a slight increase of 3% with expected enrollment increases</t>
  </si>
  <si>
    <t>5) Other receipts</t>
  </si>
  <si>
    <t>Is based on refunds and other class level fees</t>
  </si>
  <si>
    <t>6) Operating Disbursements</t>
  </si>
  <si>
    <t>Assumes reduction of purchased services expenditures over a 4 year period through 2026.  Disbursement are reported on an accrual basis.</t>
  </si>
  <si>
    <t>7) Debt</t>
  </si>
  <si>
    <t>Capital lease obligations and loans with sister school.  The capital lease payments are made monthly and not allocated out on a separate line item.  The capital lease obligations will end in year FY 23.  The loan with sister school is projected to be paid by FY 26 if not sooner.</t>
  </si>
  <si>
    <t>8) Purchased Services</t>
  </si>
  <si>
    <t>General fund purchased services are the largest expenditure item.  The five largest general fund purchased service items are rent, management fees, repairs/maintenance/trash removal, and utilities.    Slight increases for inflation were projected for FY 2023-2026 for utilities</t>
  </si>
  <si>
    <t>9) Other objects</t>
  </si>
  <si>
    <t>Other objects do not include audit fees and insurance as the new format requires them to be included in Purchased services.  All other fees per the USAS manual are included.</t>
  </si>
  <si>
    <t>10) Other assumptions</t>
  </si>
  <si>
    <t xml:space="preserve">AJ Hart Management is the EMO for the school. Per the contract, EMO receives a fee of 11,250 per month. EMO also is entitleled to expense reimbursements and fees for services outside of the management fee.  </t>
  </si>
  <si>
    <t>All revenues and expendtiures are reported on an accrual basis.  Future years will remain constant for purposes</t>
  </si>
  <si>
    <t>of this forecast due to unexpected growth in enrollment, uncertainty of budget cuts passed down through the state.</t>
  </si>
  <si>
    <t>11)  Federal Revenues</t>
  </si>
  <si>
    <t>FY 24 last year for essers III, therefore reduction in federal revenues thereafter.</t>
  </si>
  <si>
    <t>Total Expenditures per pupil</t>
  </si>
  <si>
    <t>FY 24</t>
  </si>
  <si>
    <t>FY 25</t>
  </si>
  <si>
    <t>FY 26</t>
  </si>
  <si>
    <t>FY 27</t>
  </si>
  <si>
    <t>FY 28</t>
  </si>
  <si>
    <t>Jul 23</t>
  </si>
  <si>
    <t>Aug 23</t>
  </si>
  <si>
    <t>Sep 23</t>
  </si>
  <si>
    <t>Oct 23</t>
  </si>
  <si>
    <t>Nov 23</t>
  </si>
  <si>
    <t>Dec 23</t>
  </si>
  <si>
    <t>Jan 24</t>
  </si>
  <si>
    <t>Feb 24</t>
  </si>
  <si>
    <t>Mar 24</t>
  </si>
  <si>
    <t>Apr 24</t>
  </si>
  <si>
    <t>May 24</t>
  </si>
  <si>
    <t>Jun 24</t>
  </si>
  <si>
    <t>TOTAL</t>
  </si>
  <si>
    <t>Ordinary Income/Expense</t>
  </si>
  <si>
    <t>Income</t>
  </si>
  <si>
    <t>1400 · Investment Earnings</t>
  </si>
  <si>
    <t>1800 · Misc Local Revenue</t>
  </si>
  <si>
    <t>1820 · Private Contributions</t>
  </si>
  <si>
    <t>1890 · Other Misc Receipts</t>
  </si>
  <si>
    <t>Total 1800 · Misc Local Revenue</t>
  </si>
  <si>
    <t>3101 · Unrestricted Grant in Aid</t>
  </si>
  <si>
    <t>3110 · Foundation Basic</t>
  </si>
  <si>
    <t>3190 · Casino Tax</t>
  </si>
  <si>
    <t>3191 · Facilities Funding</t>
  </si>
  <si>
    <t>Total 3101 · Unrestricted Grant in Aid</t>
  </si>
  <si>
    <t>3200 · Restricted Grant In-Aid</t>
  </si>
  <si>
    <t>3211 · Disadvataged Pupil Impact</t>
  </si>
  <si>
    <t>3218 · Student Wellness</t>
  </si>
  <si>
    <t>3219 · Other State Grants</t>
  </si>
  <si>
    <t>Total 3200 · Restricted Grant In-Aid</t>
  </si>
  <si>
    <t>4200 · Restricted Grant-In-Aid</t>
  </si>
  <si>
    <t>4220 · Restricted Grant-In-Aid</t>
  </si>
  <si>
    <t>Total 4200 · Restricted Grant-In-Aid</t>
  </si>
  <si>
    <t>5300 · Refund of Prior Year Expense</t>
  </si>
  <si>
    <t>Total Income</t>
  </si>
  <si>
    <t>Gross Profit</t>
  </si>
  <si>
    <t>Expense</t>
  </si>
  <si>
    <t>100 · Salaries</t>
  </si>
  <si>
    <t>1111110 · Teacher Elementary School</t>
  </si>
  <si>
    <t>1111120 · Teacher Middle School</t>
  </si>
  <si>
    <t>1111190 · Regular Instruction</t>
  </si>
  <si>
    <t>1111290 · 205 Intervention Specialist</t>
  </si>
  <si>
    <t>1112110 · Curriculum Support Services</t>
  </si>
  <si>
    <t>1112421 · 108 Principal</t>
  </si>
  <si>
    <t>1131930 · Supplemental Instruction</t>
  </si>
  <si>
    <t>1391110 · Professional Dev Salary (cert)</t>
  </si>
  <si>
    <t>1412110 · Support Services Pupils</t>
  </si>
  <si>
    <t>1412411 · 502 Secretary</t>
  </si>
  <si>
    <t>1412422 · 109 Executive Admin</t>
  </si>
  <si>
    <t>1412720 · 902 Custodian</t>
  </si>
  <si>
    <t>Total 100 · Salaries</t>
  </si>
  <si>
    <t>200 · Benefits</t>
  </si>
  <si>
    <t>2121190 · STRS Employers Match</t>
  </si>
  <si>
    <t>2131190 · Medicare Match</t>
  </si>
  <si>
    <t>2222490 · SERS Employer Pickup</t>
  </si>
  <si>
    <t>2411190 · Medical Teacher</t>
  </si>
  <si>
    <t>2601190 · BWC</t>
  </si>
  <si>
    <t>2811190 · Unemployment Certificated</t>
  </si>
  <si>
    <t>Total 200 · Benefits</t>
  </si>
  <si>
    <t>400 · Purchased Services</t>
  </si>
  <si>
    <t>4111190 · Instructional Services</t>
  </si>
  <si>
    <t>4122949 · Professional Development</t>
  </si>
  <si>
    <t>4152949 · Professional Development Servic</t>
  </si>
  <si>
    <t>4122949 · Professional Development - Other</t>
  </si>
  <si>
    <t>Total 4122949 · Professional Development</t>
  </si>
  <si>
    <t>4132141 · Health Services</t>
  </si>
  <si>
    <t>4132152 · Speech Services</t>
  </si>
  <si>
    <t>4151110 · Management Services</t>
  </si>
  <si>
    <t>4152310 · Sponsor Fees</t>
  </si>
  <si>
    <t>4152429 · Admistrative Technology Service</t>
  </si>
  <si>
    <t>4182310 · Board Stipends</t>
  </si>
  <si>
    <t>4182510 · Accounting &amp; Auditing</t>
  </si>
  <si>
    <t>4191120 · Other Prof. Tech. Serv</t>
  </si>
  <si>
    <t>4192190 · Support Services Pupils</t>
  </si>
  <si>
    <t>4192400 · Other Prof Services</t>
  </si>
  <si>
    <t>4192411 · Background Check</t>
  </si>
  <si>
    <t>4192720 · Janitorial Services</t>
  </si>
  <si>
    <t>4222790 · Garbage Removal</t>
  </si>
  <si>
    <t>4232424 · Repairs and Maintenance Service</t>
  </si>
  <si>
    <t>4232425 · HVAC USAGE</t>
  </si>
  <si>
    <t>4252720 · Rentals</t>
  </si>
  <si>
    <t>4292760 · Security Services</t>
  </si>
  <si>
    <t>4292790 · Other Property Service</t>
  </si>
  <si>
    <t>4293290 · Family and Community</t>
  </si>
  <si>
    <t>4392310 · Board Meeting Expense</t>
  </si>
  <si>
    <t>4392411 · Meeting Expense</t>
  </si>
  <si>
    <t>4412790 · Telephone</t>
  </si>
  <si>
    <t>4432790 · Postage</t>
  </si>
  <si>
    <t>4442790 · Postage Machine Rental</t>
  </si>
  <si>
    <t>4452790 · Messenger Service</t>
  </si>
  <si>
    <t>4462490 · Advertising</t>
  </si>
  <si>
    <t>4492790 · Other Comm. (Internet)</t>
  </si>
  <si>
    <t>4512790 · Electricity</t>
  </si>
  <si>
    <t>4532790 · Gas</t>
  </si>
  <si>
    <t>4623120 · Contracted Food Serv</t>
  </si>
  <si>
    <t>4832850 · Pupil Trans Other</t>
  </si>
  <si>
    <t>4922590 · Loss Insurance</t>
  </si>
  <si>
    <t>Total 400 · Purchased Services</t>
  </si>
  <si>
    <t>500 · Supplies and Materials</t>
  </si>
  <si>
    <t>5111130 · Instructional Supplies</t>
  </si>
  <si>
    <t>5122490 · Office Supplies</t>
  </si>
  <si>
    <t>5142134 · Nursing Supplies</t>
  </si>
  <si>
    <t>5162490 · Software Admin</t>
  </si>
  <si>
    <t>5422222 · Periodicals</t>
  </si>
  <si>
    <t>5603120 · Food Products-Lunch</t>
  </si>
  <si>
    <t>5722720 · Buildings Maintenance</t>
  </si>
  <si>
    <t>5732790 · Equipment/Furniture</t>
  </si>
  <si>
    <t>5903290 · Family Community Supplies</t>
  </si>
  <si>
    <t>Total 500 · Supplies and Materials</t>
  </si>
  <si>
    <t>800 · Other Objects</t>
  </si>
  <si>
    <t>8482590 · Bank Charges</t>
  </si>
  <si>
    <t>8492590 · Other Dues and Fees</t>
  </si>
  <si>
    <t>8494000 · Student Act/Entr. Fees</t>
  </si>
  <si>
    <t>8532590 · Bond Premiums</t>
  </si>
  <si>
    <t>8914190 · Academic Extra</t>
  </si>
  <si>
    <t>Total 800 · Other Objects</t>
  </si>
  <si>
    <t>Total Expense</t>
  </si>
  <si>
    <t>Net Ordinary Income</t>
  </si>
  <si>
    <t>Net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</si>
</sst>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00"/>
    <numFmt numFmtId="166" formatCode="#,##0.0_);\(#,##0.0\)"/>
  </numFmts>
  <fonts count="19">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Calibri"/>
      <family val="2"/>
      <scheme val="minor"/>
    </font>
    <font>
      <sz val="9"/>
      <name val="Arial"/>
      <family val="2"/>
    </font>
    <font>
      <b/>
      <sz val="9"/>
      <name val="Arial"/>
      <family val="2"/>
    </font>
    <font>
      <b/>
      <sz val="10"/>
      <name val="Arial"/>
      <family val="2"/>
    </font>
    <font>
      <sz val="11"/>
      <name val="Arial"/>
      <family val="2"/>
    </font>
    <font>
      <b/>
      <u/>
      <sz val="10"/>
      <name val="Arial"/>
      <family val="2"/>
    </font>
    <font>
      <b/>
      <u/>
      <sz val="9"/>
      <name val="Arial"/>
      <family val="2"/>
    </font>
    <font>
      <b/>
      <u/>
      <sz val="11"/>
      <name val="Arial"/>
      <family val="2"/>
    </font>
    <font>
      <sz val="9"/>
      <name val="Times New Roman"/>
      <family val="1"/>
    </font>
    <font>
      <b/>
      <sz val="9"/>
      <color rgb="FF0070C0"/>
      <name val="Arial"/>
      <family val="2"/>
    </font>
    <font>
      <b/>
      <sz val="9"/>
      <color theme="1"/>
      <name val="Arial"/>
      <family val="2"/>
    </font>
    <font>
      <b/>
      <sz val="11"/>
      <name val="Calibri"/>
      <family val="2"/>
      <scheme val="minor"/>
    </font>
    <font>
      <sz val="9"/>
      <color theme="1"/>
      <name val="Arial"/>
      <family val="2"/>
    </font>
    <font>
      <b/>
      <sz val="8"/>
      <color rgb="FF000000"/>
      <name val="Arial"/>
      <family val="2"/>
    </font>
    <font>
      <sz val="8"/>
      <color rgb="FF00000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medium">
        <color indexed="64"/>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3" fontId="3" fillId="0" borderId="0" applyFont="0" applyFill="0" applyBorder="0" applyAlignment="0" applyProtection="0"/>
    <xf numFmtId="0" fontId="3" fillId="0" borderId="0"/>
  </cellStyleXfs>
  <cellXfs count="217">
    <xf numFmtId="0" fontId="0" fillId="0" borderId="0" xfId="0"/>
    <xf numFmtId="0" fontId="4" fillId="0" borderId="1" xfId="3" applyFont="1" applyBorder="1" applyAlignment="1" applyProtection="1">
      <alignment vertical="center"/>
      <protection locked="0"/>
    </xf>
    <xf numFmtId="0" fontId="5" fillId="0" borderId="2" xfId="0" applyFont="1" applyBorder="1"/>
    <xf numFmtId="0" fontId="5" fillId="0" borderId="3" xfId="0" applyFont="1" applyBorder="1"/>
    <xf numFmtId="0" fontId="5" fillId="0" borderId="0" xfId="0" applyFont="1"/>
    <xf numFmtId="0" fontId="6" fillId="0" borderId="4" xfId="0" applyFont="1" applyBorder="1" applyAlignment="1" applyProtection="1">
      <alignment vertical="center"/>
      <protection locked="0"/>
    </xf>
    <xf numFmtId="0" fontId="6" fillId="0" borderId="0" xfId="0" applyFont="1"/>
    <xf numFmtId="0" fontId="6" fillId="0" borderId="0" xfId="0" applyFont="1" applyAlignment="1">
      <alignment horizontal="right"/>
    </xf>
    <xf numFmtId="0" fontId="5" fillId="0" borderId="5" xfId="0" applyFont="1" applyBorder="1" applyProtection="1">
      <protection locked="0"/>
    </xf>
    <xf numFmtId="0" fontId="6" fillId="0" borderId="4" xfId="0" applyFont="1" applyBorder="1" applyAlignment="1">
      <alignment vertical="center"/>
    </xf>
    <xf numFmtId="0" fontId="7" fillId="0" borderId="0" xfId="0" applyFont="1" applyAlignment="1">
      <alignment horizontal="right"/>
    </xf>
    <xf numFmtId="0" fontId="7" fillId="0" borderId="0" xfId="0" applyFont="1"/>
    <xf numFmtId="0" fontId="7" fillId="0" borderId="5" xfId="0" applyFont="1" applyBorder="1"/>
    <xf numFmtId="0" fontId="8" fillId="0" borderId="0" xfId="0" applyFont="1"/>
    <xf numFmtId="0" fontId="7" fillId="0" borderId="0" xfId="0" applyFont="1" applyAlignment="1">
      <alignment horizontal="center"/>
    </xf>
    <xf numFmtId="0" fontId="9" fillId="0" borderId="4" xfId="0" applyFont="1" applyBorder="1"/>
    <xf numFmtId="0" fontId="9" fillId="0" borderId="0" xfId="0" applyFont="1"/>
    <xf numFmtId="0" fontId="6" fillId="0" borderId="5" xfId="0" applyFont="1" applyBorder="1" applyAlignment="1">
      <alignment horizontal="center"/>
    </xf>
    <xf numFmtId="0" fontId="5" fillId="0" borderId="4" xfId="0" applyFont="1" applyBorder="1"/>
    <xf numFmtId="0" fontId="6" fillId="3" borderId="6" xfId="0" applyFont="1" applyFill="1" applyBorder="1" applyAlignment="1">
      <alignment horizontal="centerContinuous"/>
    </xf>
    <xf numFmtId="0" fontId="5" fillId="3" borderId="7" xfId="0" applyFont="1" applyFill="1" applyBorder="1" applyAlignment="1">
      <alignment horizontal="centerContinuous"/>
    </xf>
    <xf numFmtId="0" fontId="5" fillId="3" borderId="8" xfId="0" applyFont="1" applyFill="1" applyBorder="1" applyAlignment="1">
      <alignment horizontal="centerContinuous"/>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4"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42" fontId="5" fillId="0" borderId="0" xfId="0" applyNumberFormat="1" applyFont="1"/>
    <xf numFmtId="0" fontId="5" fillId="2" borderId="4" xfId="0" applyFont="1" applyFill="1" applyBorder="1" applyAlignment="1" applyProtection="1">
      <alignment horizontal="center"/>
      <protection locked="0"/>
    </xf>
    <xf numFmtId="0" fontId="5" fillId="2" borderId="0" xfId="0" applyFont="1" applyFill="1" applyAlignment="1" applyProtection="1">
      <alignment horizontal="center"/>
      <protection locked="0"/>
    </xf>
    <xf numFmtId="0" fontId="5" fillId="2" borderId="5" xfId="0" applyFont="1" applyFill="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pplyProtection="1">
      <alignment horizontal="center" vertical="center"/>
      <protection locked="0"/>
    </xf>
    <xf numFmtId="0" fontId="5" fillId="0" borderId="5" xfId="0" applyFont="1" applyBorder="1" applyAlignment="1" applyProtection="1">
      <alignment horizontal="center"/>
      <protection locked="0"/>
    </xf>
    <xf numFmtId="0" fontId="10" fillId="0" borderId="4" xfId="0" applyFont="1" applyBorder="1"/>
    <xf numFmtId="44" fontId="5" fillId="2" borderId="9" xfId="0" applyNumberFormat="1" applyFont="1" applyFill="1" applyBorder="1" applyAlignment="1">
      <alignment horizontal="right"/>
    </xf>
    <xf numFmtId="44" fontId="5" fillId="2" borderId="10" xfId="0" applyNumberFormat="1" applyFont="1" applyFill="1" applyBorder="1" applyAlignment="1">
      <alignment horizontal="right"/>
    </xf>
    <xf numFmtId="44" fontId="5" fillId="2" borderId="11" xfId="0" applyNumberFormat="1" applyFont="1" applyFill="1" applyBorder="1" applyAlignment="1">
      <alignment horizontal="right"/>
    </xf>
    <xf numFmtId="44" fontId="5" fillId="0" borderId="9" xfId="0" applyNumberFormat="1" applyFont="1" applyBorder="1" applyAlignment="1">
      <alignment horizontal="right"/>
    </xf>
    <xf numFmtId="44" fontId="5" fillId="0" borderId="10" xfId="0" applyNumberFormat="1" applyFont="1" applyBorder="1" applyAlignment="1">
      <alignment horizontal="right"/>
    </xf>
    <xf numFmtId="44" fontId="5" fillId="0" borderId="11" xfId="0" applyNumberFormat="1" applyFont="1" applyBorder="1" applyAlignment="1">
      <alignment horizontal="right"/>
    </xf>
    <xf numFmtId="42" fontId="5" fillId="2" borderId="11" xfId="0" applyNumberFormat="1" applyFont="1" applyFill="1" applyBorder="1" applyAlignment="1" applyProtection="1">
      <alignment horizontal="right"/>
      <protection locked="0"/>
    </xf>
    <xf numFmtId="42" fontId="5" fillId="4" borderId="11" xfId="0" applyNumberFormat="1" applyFont="1" applyFill="1" applyBorder="1" applyAlignment="1" applyProtection="1">
      <alignment horizontal="right"/>
      <protection locked="0"/>
    </xf>
    <xf numFmtId="42" fontId="5" fillId="0" borderId="9" xfId="0" applyNumberFormat="1" applyFont="1" applyBorder="1" applyAlignment="1" applyProtection="1">
      <alignment horizontal="right"/>
      <protection locked="0"/>
    </xf>
    <xf numFmtId="41" fontId="5" fillId="2" borderId="11" xfId="0" applyNumberFormat="1" applyFont="1" applyFill="1" applyBorder="1" applyAlignment="1" applyProtection="1">
      <alignment horizontal="right"/>
      <protection locked="0"/>
    </xf>
    <xf numFmtId="41" fontId="5" fillId="4" borderId="11" xfId="0" applyNumberFormat="1" applyFont="1" applyFill="1" applyBorder="1" applyAlignment="1" applyProtection="1">
      <alignment horizontal="right"/>
      <protection locked="0"/>
    </xf>
    <xf numFmtId="41" fontId="5" fillId="0" borderId="9" xfId="0" applyNumberFormat="1" applyFont="1" applyBorder="1" applyAlignment="1" applyProtection="1">
      <alignment horizontal="right"/>
      <protection locked="0"/>
    </xf>
    <xf numFmtId="41" fontId="5" fillId="0" borderId="10" xfId="0" applyNumberFormat="1" applyFont="1" applyBorder="1" applyAlignment="1" applyProtection="1">
      <alignment horizontal="right"/>
      <protection locked="0"/>
    </xf>
    <xf numFmtId="41" fontId="5" fillId="0" borderId="11" xfId="0" applyNumberFormat="1" applyFont="1" applyBorder="1" applyAlignment="1" applyProtection="1">
      <alignment horizontal="right"/>
      <protection locked="0"/>
    </xf>
    <xf numFmtId="37" fontId="5" fillId="0" borderId="0" xfId="0" applyNumberFormat="1" applyFont="1"/>
    <xf numFmtId="41" fontId="5" fillId="4" borderId="9" xfId="0" applyNumberFormat="1" applyFont="1" applyFill="1" applyBorder="1" applyAlignment="1" applyProtection="1">
      <alignment horizontal="right"/>
      <protection locked="0"/>
    </xf>
    <xf numFmtId="0" fontId="6" fillId="0" borderId="4" xfId="0" applyFont="1" applyBorder="1"/>
    <xf numFmtId="42" fontId="5" fillId="2" borderId="11" xfId="0" applyNumberFormat="1" applyFont="1" applyFill="1" applyBorder="1" applyAlignment="1">
      <alignment horizontal="right"/>
    </xf>
    <xf numFmtId="42" fontId="5" fillId="4" borderId="11" xfId="0" applyNumberFormat="1" applyFont="1" applyFill="1" applyBorder="1" applyAlignment="1">
      <alignment horizontal="right"/>
    </xf>
    <xf numFmtId="42" fontId="5" fillId="0" borderId="9" xfId="0" applyNumberFormat="1" applyFont="1" applyBorder="1" applyAlignment="1">
      <alignment horizontal="right"/>
    </xf>
    <xf numFmtId="42" fontId="5" fillId="0" borderId="10" xfId="0" applyNumberFormat="1" applyFont="1" applyBorder="1" applyAlignment="1">
      <alignment horizontal="right"/>
    </xf>
    <xf numFmtId="42" fontId="5" fillId="0" borderId="11" xfId="0" applyNumberFormat="1" applyFont="1" applyBorder="1" applyAlignment="1">
      <alignment horizontal="right"/>
    </xf>
    <xf numFmtId="42" fontId="5" fillId="2" borderId="11" xfId="2" applyNumberFormat="1" applyFont="1" applyFill="1" applyBorder="1" applyAlignment="1">
      <alignment horizontal="right"/>
    </xf>
    <xf numFmtId="42" fontId="5" fillId="4" borderId="11" xfId="2" applyNumberFormat="1" applyFont="1" applyFill="1" applyBorder="1" applyAlignment="1">
      <alignment horizontal="right"/>
    </xf>
    <xf numFmtId="42" fontId="5" fillId="0" borderId="9" xfId="2" applyNumberFormat="1" applyFont="1" applyBorder="1" applyAlignment="1">
      <alignment horizontal="right"/>
    </xf>
    <xf numFmtId="42" fontId="5" fillId="0" borderId="10" xfId="2" applyNumberFormat="1" applyFont="1" applyBorder="1" applyAlignment="1">
      <alignment horizontal="right"/>
    </xf>
    <xf numFmtId="42" fontId="5" fillId="0" borderId="11" xfId="2" applyNumberFormat="1" applyFont="1" applyBorder="1" applyAlignment="1">
      <alignment horizontal="right"/>
    </xf>
    <xf numFmtId="42" fontId="5" fillId="0" borderId="9" xfId="0" applyNumberFormat="1" applyFont="1" applyBorder="1" applyProtection="1">
      <protection locked="0"/>
    </xf>
    <xf numFmtId="41" fontId="5" fillId="0" borderId="9" xfId="0" applyNumberFormat="1" applyFont="1" applyBorder="1" applyProtection="1">
      <protection locked="0"/>
    </xf>
    <xf numFmtId="37" fontId="5" fillId="0" borderId="0" xfId="2" applyNumberFormat="1" applyFont="1" applyAlignment="1">
      <alignment horizontal="center"/>
    </xf>
    <xf numFmtId="42" fontId="5" fillId="4" borderId="9" xfId="0" applyNumberFormat="1" applyFont="1" applyFill="1" applyBorder="1" applyAlignment="1" applyProtection="1">
      <alignment horizontal="right"/>
      <protection locked="0"/>
    </xf>
    <xf numFmtId="43" fontId="5" fillId="0" borderId="0" xfId="0" applyNumberFormat="1" applyFont="1"/>
    <xf numFmtId="42" fontId="5" fillId="2" borderId="11" xfId="0" applyNumberFormat="1" applyFont="1" applyFill="1" applyBorder="1"/>
    <xf numFmtId="42" fontId="5" fillId="4" borderId="11" xfId="0" applyNumberFormat="1" applyFont="1" applyFill="1" applyBorder="1"/>
    <xf numFmtId="42" fontId="5" fillId="0" borderId="9" xfId="0" applyNumberFormat="1" applyFont="1" applyBorder="1"/>
    <xf numFmtId="42" fontId="5" fillId="0" borderId="10" xfId="0" applyNumberFormat="1" applyFont="1" applyBorder="1"/>
    <xf numFmtId="42" fontId="5" fillId="0" borderId="11" xfId="0" applyNumberFormat="1" applyFont="1" applyBorder="1"/>
    <xf numFmtId="42" fontId="5" fillId="2" borderId="10" xfId="0" applyNumberFormat="1" applyFont="1" applyFill="1" applyBorder="1"/>
    <xf numFmtId="42" fontId="5" fillId="4" borderId="10" xfId="0" applyNumberFormat="1" applyFont="1" applyFill="1" applyBorder="1"/>
    <xf numFmtId="42" fontId="5" fillId="2" borderId="12" xfId="0" applyNumberFormat="1" applyFont="1" applyFill="1" applyBorder="1"/>
    <xf numFmtId="42" fontId="5" fillId="4" borderId="12" xfId="0" applyNumberFormat="1" applyFont="1" applyFill="1" applyBorder="1"/>
    <xf numFmtId="42" fontId="5" fillId="0" borderId="13" xfId="0" applyNumberFormat="1" applyFont="1" applyBorder="1"/>
    <xf numFmtId="42" fontId="5" fillId="0" borderId="14" xfId="0" applyNumberFormat="1" applyFont="1" applyBorder="1"/>
    <xf numFmtId="42" fontId="5" fillId="0" borderId="12" xfId="0" applyNumberFormat="1" applyFont="1" applyBorder="1"/>
    <xf numFmtId="42" fontId="5" fillId="2" borderId="0" xfId="0" applyNumberFormat="1" applyFont="1" applyFill="1"/>
    <xf numFmtId="42" fontId="5" fillId="2" borderId="0" xfId="4" applyNumberFormat="1" applyFont="1" applyFill="1" applyAlignment="1">
      <alignment horizontal="center"/>
    </xf>
    <xf numFmtId="42" fontId="5" fillId="0" borderId="0" xfId="4" applyNumberFormat="1" applyFont="1" applyAlignment="1">
      <alignment horizontal="center"/>
    </xf>
    <xf numFmtId="37" fontId="5" fillId="0" borderId="0" xfId="4" applyNumberFormat="1" applyFont="1" applyAlignment="1">
      <alignment horizontal="center"/>
    </xf>
    <xf numFmtId="5" fontId="5" fillId="0" borderId="0" xfId="0" applyNumberFormat="1" applyFont="1"/>
    <xf numFmtId="0" fontId="11" fillId="0" borderId="4" xfId="0" applyFont="1" applyBorder="1"/>
    <xf numFmtId="0" fontId="12" fillId="0" borderId="0" xfId="0" applyFont="1"/>
    <xf numFmtId="1" fontId="5" fillId="2" borderId="11" xfId="0" applyNumberFormat="1" applyFont="1" applyFill="1" applyBorder="1" applyAlignment="1" applyProtection="1">
      <alignment horizontal="right" indent="1"/>
      <protection locked="0"/>
    </xf>
    <xf numFmtId="1" fontId="5" fillId="2" borderId="12" xfId="0" applyNumberFormat="1" applyFont="1" applyFill="1" applyBorder="1" applyAlignment="1" applyProtection="1">
      <alignment horizontal="right" indent="1"/>
      <protection locked="0"/>
    </xf>
    <xf numFmtId="0" fontId="5" fillId="2" borderId="4" xfId="0" applyFont="1" applyFill="1" applyBorder="1" applyAlignment="1">
      <alignment horizontal="right" indent="1"/>
    </xf>
    <xf numFmtId="2" fontId="5" fillId="2" borderId="0" xfId="0" applyNumberFormat="1" applyFont="1" applyFill="1" applyAlignment="1">
      <alignment horizontal="right" indent="1"/>
    </xf>
    <xf numFmtId="2" fontId="5" fillId="0" borderId="0" xfId="0" applyNumberFormat="1" applyFont="1" applyAlignment="1">
      <alignment horizontal="right" indent="1"/>
    </xf>
    <xf numFmtId="0" fontId="5" fillId="0" borderId="0" xfId="0" applyFont="1" applyAlignment="1">
      <alignment horizontal="right" indent="1"/>
    </xf>
    <xf numFmtId="0" fontId="5" fillId="0" borderId="5" xfId="0" applyFont="1" applyBorder="1" applyAlignment="1">
      <alignment horizontal="right" indent="1"/>
    </xf>
    <xf numFmtId="164" fontId="5" fillId="2" borderId="15" xfId="0" applyNumberFormat="1" applyFont="1" applyFill="1" applyBorder="1" applyAlignment="1" applyProtection="1">
      <alignment horizontal="right" indent="1"/>
      <protection locked="0"/>
    </xf>
    <xf numFmtId="164" fontId="5" fillId="4" borderId="15" xfId="0" applyNumberFormat="1" applyFont="1" applyFill="1" applyBorder="1" applyAlignment="1" applyProtection="1">
      <alignment horizontal="right" indent="1"/>
      <protection locked="0"/>
    </xf>
    <xf numFmtId="164" fontId="5" fillId="0" borderId="16" xfId="0" applyNumberFormat="1" applyFont="1" applyBorder="1" applyAlignment="1" applyProtection="1">
      <alignment horizontal="right" indent="1"/>
      <protection locked="0"/>
    </xf>
    <xf numFmtId="164" fontId="5" fillId="2" borderId="11" xfId="0" applyNumberFormat="1" applyFont="1" applyFill="1" applyBorder="1" applyAlignment="1" applyProtection="1">
      <alignment horizontal="right" indent="1"/>
      <protection locked="0"/>
    </xf>
    <xf numFmtId="164" fontId="5" fillId="4" borderId="11" xfId="0" applyNumberFormat="1" applyFont="1" applyFill="1" applyBorder="1" applyAlignment="1" applyProtection="1">
      <alignment horizontal="right" indent="1"/>
      <protection locked="0"/>
    </xf>
    <xf numFmtId="164" fontId="5" fillId="0" borderId="17" xfId="0" applyNumberFormat="1" applyFont="1" applyBorder="1" applyAlignment="1" applyProtection="1">
      <alignment horizontal="right" indent="1"/>
      <protection locked="0"/>
    </xf>
    <xf numFmtId="41" fontId="5" fillId="0" borderId="0" xfId="0" applyNumberFormat="1" applyFont="1"/>
    <xf numFmtId="164" fontId="5" fillId="0" borderId="11" xfId="0" applyNumberFormat="1" applyFont="1" applyBorder="1" applyAlignment="1" applyProtection="1">
      <alignment horizontal="right" indent="1"/>
      <protection locked="0"/>
    </xf>
    <xf numFmtId="165" fontId="0" fillId="0" borderId="0" xfId="0" applyNumberFormat="1"/>
    <xf numFmtId="164" fontId="5" fillId="2" borderId="12" xfId="0" applyNumberFormat="1" applyFont="1" applyFill="1" applyBorder="1" applyAlignment="1">
      <alignment horizontal="right"/>
    </xf>
    <xf numFmtId="164" fontId="5" fillId="4" borderId="12" xfId="0" applyNumberFormat="1" applyFont="1" applyFill="1" applyBorder="1" applyAlignment="1">
      <alignment horizontal="right"/>
    </xf>
    <xf numFmtId="164" fontId="5" fillId="0" borderId="18" xfId="0" applyNumberFormat="1" applyFont="1" applyBorder="1" applyAlignment="1">
      <alignment horizontal="right"/>
    </xf>
    <xf numFmtId="0" fontId="13" fillId="0" borderId="4" xfId="0" applyFont="1" applyBorder="1"/>
    <xf numFmtId="41" fontId="5" fillId="2" borderId="4" xfId="0" applyNumberFormat="1" applyFont="1" applyFill="1" applyBorder="1" applyAlignment="1">
      <alignment horizontal="right"/>
    </xf>
    <xf numFmtId="0" fontId="5" fillId="2" borderId="0" xfId="0" applyFont="1" applyFill="1" applyAlignment="1">
      <alignment horizontal="right"/>
    </xf>
    <xf numFmtId="0" fontId="5" fillId="0" borderId="0" xfId="0" applyFont="1" applyAlignment="1">
      <alignment horizontal="right"/>
    </xf>
    <xf numFmtId="0" fontId="5" fillId="0" borderId="5" xfId="0" applyFont="1" applyBorder="1" applyAlignment="1">
      <alignment horizontal="right"/>
    </xf>
    <xf numFmtId="0" fontId="10" fillId="0" borderId="4" xfId="5" applyFont="1" applyBorder="1"/>
    <xf numFmtId="0" fontId="5" fillId="2" borderId="4" xfId="0" applyFont="1" applyFill="1" applyBorder="1" applyAlignment="1">
      <alignment horizontal="right"/>
    </xf>
    <xf numFmtId="0" fontId="5" fillId="2" borderId="4" xfId="0" applyFont="1" applyFill="1" applyBorder="1"/>
    <xf numFmtId="0" fontId="5" fillId="2" borderId="0" xfId="0" applyFont="1" applyFill="1"/>
    <xf numFmtId="164" fontId="5" fillId="0" borderId="0" xfId="0" applyNumberFormat="1" applyFont="1"/>
    <xf numFmtId="42" fontId="5" fillId="2" borderId="19" xfId="0" applyNumberFormat="1" applyFont="1" applyFill="1" applyBorder="1"/>
    <xf numFmtId="42" fontId="5" fillId="2" borderId="20" xfId="0" applyNumberFormat="1" applyFont="1" applyFill="1" applyBorder="1"/>
    <xf numFmtId="42" fontId="5" fillId="2" borderId="15" xfId="0" applyNumberFormat="1" applyFont="1" applyFill="1" applyBorder="1"/>
    <xf numFmtId="42" fontId="5" fillId="0" borderId="16" xfId="0" applyNumberFormat="1" applyFont="1" applyBorder="1"/>
    <xf numFmtId="42" fontId="5" fillId="0" borderId="20" xfId="0" applyNumberFormat="1" applyFont="1" applyBorder="1"/>
    <xf numFmtId="42" fontId="5" fillId="0" borderId="15" xfId="0" applyNumberFormat="1" applyFont="1" applyBorder="1"/>
    <xf numFmtId="2" fontId="5" fillId="2" borderId="9" xfId="0" applyNumberFormat="1" applyFont="1" applyFill="1" applyBorder="1" applyAlignment="1">
      <alignment horizontal="right" indent="1"/>
    </xf>
    <xf numFmtId="2" fontId="5" fillId="2" borderId="10" xfId="0" applyNumberFormat="1" applyFont="1" applyFill="1" applyBorder="1" applyAlignment="1">
      <alignment horizontal="right" indent="1"/>
    </xf>
    <xf numFmtId="2" fontId="5" fillId="2" borderId="11" xfId="0" applyNumberFormat="1" applyFont="1" applyFill="1" applyBorder="1" applyAlignment="1">
      <alignment horizontal="right" indent="1"/>
    </xf>
    <xf numFmtId="2" fontId="5" fillId="0" borderId="17" xfId="0" applyNumberFormat="1" applyFont="1" applyBorder="1" applyAlignment="1">
      <alignment horizontal="right" indent="1"/>
    </xf>
    <xf numFmtId="2" fontId="5" fillId="0" borderId="10" xfId="0" applyNumberFormat="1" applyFont="1" applyBorder="1" applyAlignment="1">
      <alignment horizontal="right" indent="1"/>
    </xf>
    <xf numFmtId="2" fontId="5" fillId="0" borderId="11" xfId="0" applyNumberFormat="1" applyFont="1" applyBorder="1" applyAlignment="1">
      <alignment horizontal="right" indent="1"/>
    </xf>
    <xf numFmtId="10" fontId="5" fillId="2" borderId="9" xfId="0" applyNumberFormat="1" applyFont="1" applyFill="1" applyBorder="1" applyAlignment="1">
      <alignment horizontal="right" indent="1"/>
    </xf>
    <xf numFmtId="10" fontId="5" fillId="2" borderId="10" xfId="0" applyNumberFormat="1" applyFont="1" applyFill="1" applyBorder="1" applyAlignment="1">
      <alignment horizontal="right" indent="1"/>
    </xf>
    <xf numFmtId="10" fontId="5" fillId="2" borderId="11" xfId="0" applyNumberFormat="1" applyFont="1" applyFill="1" applyBorder="1" applyAlignment="1">
      <alignment horizontal="right" indent="1"/>
    </xf>
    <xf numFmtId="10" fontId="5" fillId="0" borderId="17" xfId="0" applyNumberFormat="1" applyFont="1" applyBorder="1" applyAlignment="1">
      <alignment horizontal="right" indent="1"/>
    </xf>
    <xf numFmtId="10" fontId="5" fillId="0" borderId="10" xfId="0" applyNumberFormat="1" applyFont="1" applyBorder="1" applyAlignment="1">
      <alignment horizontal="right" indent="1"/>
    </xf>
    <xf numFmtId="10" fontId="5" fillId="0" borderId="11" xfId="0" applyNumberFormat="1" applyFont="1" applyBorder="1" applyAlignment="1">
      <alignment horizontal="right" indent="1"/>
    </xf>
    <xf numFmtId="0" fontId="5" fillId="0" borderId="21" xfId="0" applyFont="1" applyBorder="1"/>
    <xf numFmtId="2" fontId="5" fillId="2" borderId="13" xfId="0" applyNumberFormat="1" applyFont="1" applyFill="1" applyBorder="1" applyAlignment="1">
      <alignment horizontal="right" indent="1"/>
    </xf>
    <xf numFmtId="2" fontId="5" fillId="2" borderId="14" xfId="0" applyNumberFormat="1" applyFont="1" applyFill="1" applyBorder="1" applyAlignment="1">
      <alignment horizontal="right" indent="1"/>
    </xf>
    <xf numFmtId="2" fontId="5" fillId="2" borderId="12" xfId="0" applyNumberFormat="1" applyFont="1" applyFill="1" applyBorder="1" applyAlignment="1">
      <alignment horizontal="right" indent="1"/>
    </xf>
    <xf numFmtId="2" fontId="5" fillId="0" borderId="18" xfId="0" applyNumberFormat="1" applyFont="1" applyBorder="1" applyAlignment="1">
      <alignment horizontal="right" indent="1"/>
    </xf>
    <xf numFmtId="2" fontId="5" fillId="0" borderId="14" xfId="0" applyNumberFormat="1" applyFont="1" applyBorder="1" applyAlignment="1">
      <alignment horizontal="right" indent="1"/>
    </xf>
    <xf numFmtId="2" fontId="5" fillId="0" borderId="12" xfId="0" applyNumberFormat="1" applyFont="1" applyBorder="1" applyAlignment="1">
      <alignment horizontal="right" indent="1"/>
    </xf>
    <xf numFmtId="0" fontId="10" fillId="0" borderId="0" xfId="0" applyFont="1"/>
    <xf numFmtId="0" fontId="5" fillId="0" borderId="0" xfId="0" applyFont="1" applyProtection="1">
      <protection locked="0"/>
    </xf>
    <xf numFmtId="0" fontId="14" fillId="0" borderId="0" xfId="0" applyFont="1" applyAlignment="1">
      <alignment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5" fillId="0" borderId="15" xfId="0" applyFont="1" applyBorder="1" applyAlignment="1">
      <alignment horizontal="center" vertical="center" wrapText="1"/>
    </xf>
    <xf numFmtId="0" fontId="16" fillId="0" borderId="0" xfId="0" applyFont="1" applyAlignment="1">
      <alignment horizontal="center" vertical="center"/>
    </xf>
    <xf numFmtId="0" fontId="0" fillId="0" borderId="9" xfId="0" applyBorder="1" applyAlignment="1">
      <alignment vertical="center" wrapText="1"/>
    </xf>
    <xf numFmtId="44" fontId="0" fillId="0" borderId="10" xfId="0" applyNumberFormat="1" applyBorder="1" applyAlignment="1">
      <alignment vertical="center" wrapText="1"/>
    </xf>
    <xf numFmtId="0" fontId="5" fillId="0" borderId="11" xfId="0" applyFont="1" applyBorder="1" applyAlignment="1">
      <alignment horizontal="center"/>
    </xf>
    <xf numFmtId="0" fontId="16" fillId="0" borderId="0" xfId="0" applyFont="1" applyAlignment="1">
      <alignment vertical="center" wrapText="1"/>
    </xf>
    <xf numFmtId="44" fontId="16" fillId="0" borderId="0" xfId="0" applyNumberFormat="1" applyFont="1" applyAlignment="1">
      <alignment vertical="center"/>
    </xf>
    <xf numFmtId="0" fontId="0" fillId="5" borderId="9" xfId="0" applyFill="1" applyBorder="1" applyAlignment="1">
      <alignment vertical="center" wrapText="1"/>
    </xf>
    <xf numFmtId="164" fontId="0" fillId="5" borderId="10" xfId="0" applyNumberFormat="1" applyFill="1" applyBorder="1" applyAlignment="1">
      <alignment vertical="center" wrapText="1"/>
    </xf>
    <xf numFmtId="44" fontId="0" fillId="5" borderId="10" xfId="0" applyNumberFormat="1" applyFill="1" applyBorder="1" applyAlignment="1">
      <alignment vertical="center" wrapText="1"/>
    </xf>
    <xf numFmtId="0" fontId="5" fillId="5" borderId="11" xfId="0" applyFont="1" applyFill="1" applyBorder="1" applyAlignment="1">
      <alignment horizontal="center" wrapText="1"/>
    </xf>
    <xf numFmtId="164" fontId="0" fillId="0" borderId="10" xfId="0" applyNumberFormat="1" applyBorder="1" applyAlignment="1">
      <alignment vertical="center" wrapText="1"/>
    </xf>
    <xf numFmtId="0" fontId="5" fillId="5" borderId="11" xfId="0" applyFont="1" applyFill="1" applyBorder="1" applyAlignment="1">
      <alignment horizontal="center"/>
    </xf>
    <xf numFmtId="0" fontId="0" fillId="0" borderId="25" xfId="0" applyBorder="1" applyAlignment="1">
      <alignment vertical="center" wrapText="1"/>
    </xf>
    <xf numFmtId="164" fontId="0" fillId="0" borderId="26" xfId="0" applyNumberFormat="1" applyBorder="1" applyAlignment="1">
      <alignment vertical="center" wrapText="1"/>
    </xf>
    <xf numFmtId="44" fontId="0" fillId="0" borderId="26" xfId="0" applyNumberFormat="1" applyBorder="1" applyAlignment="1">
      <alignment vertical="center" wrapText="1"/>
    </xf>
    <xf numFmtId="0" fontId="5" fillId="0" borderId="27" xfId="0" applyFont="1" applyBorder="1" applyAlignment="1">
      <alignment horizontal="center"/>
    </xf>
    <xf numFmtId="0" fontId="0" fillId="0" borderId="6" xfId="0" applyBorder="1" applyAlignment="1">
      <alignment vertical="center" wrapText="1"/>
    </xf>
    <xf numFmtId="164" fontId="0" fillId="0" borderId="7" xfId="0" applyNumberFormat="1" applyBorder="1" applyAlignment="1">
      <alignment vertical="center" wrapText="1"/>
    </xf>
    <xf numFmtId="44" fontId="0" fillId="0" borderId="7" xfId="0" applyNumberFormat="1" applyBorder="1" applyAlignment="1">
      <alignment vertical="center" wrapText="1"/>
    </xf>
    <xf numFmtId="0" fontId="5" fillId="0" borderId="8" xfId="0" applyFont="1" applyBorder="1" applyAlignment="1">
      <alignment horizontal="center"/>
    </xf>
    <xf numFmtId="0" fontId="0" fillId="0" borderId="28" xfId="0" applyBorder="1" applyAlignment="1">
      <alignment vertical="center" wrapText="1"/>
    </xf>
    <xf numFmtId="164" fontId="0" fillId="0" borderId="29" xfId="0" applyNumberFormat="1" applyBorder="1" applyAlignment="1">
      <alignment vertical="center" wrapText="1"/>
    </xf>
    <xf numFmtId="44" fontId="0" fillId="0" borderId="29" xfId="0" applyNumberFormat="1" applyBorder="1" applyAlignment="1">
      <alignment vertical="center" wrapText="1"/>
    </xf>
    <xf numFmtId="0" fontId="6" fillId="0" borderId="0" xfId="0" applyFont="1" applyProtection="1">
      <protection locked="0"/>
    </xf>
    <xf numFmtId="0" fontId="5" fillId="0" borderId="0" xfId="0" applyFont="1" applyAlignment="1">
      <alignment horizontal="left" wrapText="1"/>
    </xf>
    <xf numFmtId="0" fontId="5" fillId="0" borderId="0" xfId="0" applyFont="1" applyAlignment="1">
      <alignment horizontal="left"/>
    </xf>
    <xf numFmtId="0" fontId="6" fillId="0" borderId="0" xfId="0" applyFont="1" applyAlignment="1">
      <alignment horizontal="center"/>
    </xf>
    <xf numFmtId="43" fontId="5" fillId="0" borderId="0" xfId="1" applyFont="1"/>
    <xf numFmtId="0" fontId="5" fillId="4" borderId="0" xfId="0" applyFont="1" applyFill="1"/>
    <xf numFmtId="49" fontId="17" fillId="0" borderId="0" xfId="0" applyNumberFormat="1" applyFont="1" applyAlignment="1">
      <alignment horizontal="center"/>
    </xf>
    <xf numFmtId="49" fontId="17" fillId="0" borderId="30" xfId="0" applyNumberFormat="1" applyFont="1" applyBorder="1" applyAlignment="1">
      <alignment horizontal="center"/>
    </xf>
    <xf numFmtId="49" fontId="0" fillId="0" borderId="0" xfId="0" applyNumberFormat="1" applyAlignment="1">
      <alignment horizontal="center"/>
    </xf>
    <xf numFmtId="0" fontId="0" fillId="0" borderId="0" xfId="0" applyAlignment="1">
      <alignment horizontal="center"/>
    </xf>
    <xf numFmtId="49" fontId="17" fillId="0" borderId="0" xfId="0" applyNumberFormat="1" applyFont="1"/>
    <xf numFmtId="165" fontId="18" fillId="0" borderId="0" xfId="0" applyNumberFormat="1" applyFont="1"/>
    <xf numFmtId="49" fontId="18" fillId="0" borderId="0" xfId="0" applyNumberFormat="1" applyFont="1"/>
    <xf numFmtId="165" fontId="18" fillId="0" borderId="31" xfId="0" applyNumberFormat="1" applyFont="1" applyBorder="1"/>
    <xf numFmtId="165" fontId="18" fillId="0" borderId="7" xfId="0" applyNumberFormat="1" applyFont="1" applyBorder="1"/>
    <xf numFmtId="165" fontId="18" fillId="0" borderId="2" xfId="0" applyNumberFormat="1" applyFont="1" applyBorder="1"/>
    <xf numFmtId="165" fontId="17" fillId="0" borderId="32" xfId="0" applyNumberFormat="1" applyFont="1" applyBorder="1"/>
    <xf numFmtId="0" fontId="17" fillId="0" borderId="0" xfId="0" applyFont="1"/>
    <xf numFmtId="165" fontId="18" fillId="3" borderId="0" xfId="0" applyNumberFormat="1" applyFont="1" applyFill="1"/>
    <xf numFmtId="49" fontId="18" fillId="3" borderId="0" xfId="0" applyNumberFormat="1" applyFont="1" applyFill="1"/>
    <xf numFmtId="39" fontId="0" fillId="0" borderId="0" xfId="0" applyNumberFormat="1"/>
    <xf numFmtId="166" fontId="0" fillId="0" borderId="0" xfId="0" applyNumberFormat="1"/>
    <xf numFmtId="43" fontId="0" fillId="0" borderId="0" xfId="1" applyFont="1"/>
    <xf numFmtId="0" fontId="5" fillId="0" borderId="0" xfId="0" applyFont="1" applyAlignment="1">
      <alignment horizontal="left" wrapText="1"/>
    </xf>
    <xf numFmtId="0" fontId="5" fillId="0" borderId="0" xfId="0" applyFont="1" applyAlignment="1" applyProtection="1">
      <alignment horizontal="left" vertical="center"/>
      <protection locked="0"/>
    </xf>
    <xf numFmtId="0" fontId="5" fillId="0" borderId="0" xfId="0" applyFont="1" applyAlignment="1">
      <alignment horizontal="left" vertical="top" wrapText="1"/>
    </xf>
    <xf numFmtId="0" fontId="16" fillId="0" borderId="0" xfId="0" applyFont="1" applyAlignment="1">
      <alignment horizontal="center" vertical="center" wrapText="1"/>
    </xf>
    <xf numFmtId="44" fontId="16" fillId="0" borderId="0" xfId="0" applyNumberFormat="1" applyFont="1" applyAlignment="1">
      <alignment horizontal="center" vertical="center"/>
    </xf>
    <xf numFmtId="0" fontId="7" fillId="0" borderId="0" xfId="0" applyFont="1" applyAlignment="1">
      <alignment horizontal="left"/>
    </xf>
    <xf numFmtId="0" fontId="7" fillId="0" borderId="0" xfId="0" applyFont="1" applyAlignment="1">
      <alignment horizontal="center"/>
    </xf>
    <xf numFmtId="0" fontId="3" fillId="0" borderId="4"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5" xfId="0" applyFont="1" applyBorder="1" applyAlignment="1" applyProtection="1">
      <alignment horizontal="center"/>
      <protection locked="0"/>
    </xf>
    <xf numFmtId="0" fontId="6" fillId="2" borderId="6" xfId="0" applyFont="1" applyFill="1" applyBorder="1" applyAlignment="1">
      <alignment horizontal="center"/>
    </xf>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3" borderId="6"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cellXfs>
  <cellStyles count="6">
    <cellStyle name="Comma" xfId="1" builtinId="3"/>
    <cellStyle name="Comma0" xfId="4" xr:uid="{4F47627E-05A6-4319-ABC4-9A1FC20E94A1}"/>
    <cellStyle name="Currency" xfId="2" builtinId="4"/>
    <cellStyle name="Normal" xfId="0" builtinId="0"/>
    <cellStyle name="Normal 2" xfId="3" xr:uid="{FEDB54B9-4C32-42C4-81E8-3C3EFA44693B}"/>
    <cellStyle name="Normal 6" xfId="5" xr:uid="{C77FFF69-5407-4A0B-A7EE-DE943F2840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5CC1C-7939-4D4B-94A5-C088BA805A4A}">
  <dimension ref="A1:AA727"/>
  <sheetViews>
    <sheetView tabSelected="1" topLeftCell="A26" workbookViewId="0">
      <selection activeCell="A7" sqref="A7:I7"/>
    </sheetView>
  </sheetViews>
  <sheetFormatPr defaultColWidth="9.140625" defaultRowHeight="11.45"/>
  <cols>
    <col min="1" max="1" width="46.42578125" style="4" customWidth="1"/>
    <col min="2" max="9" width="13.28515625" style="4" customWidth="1"/>
    <col min="10" max="10" width="9.140625" style="4"/>
    <col min="11" max="11" width="11.85546875" style="4" bestFit="1" customWidth="1"/>
    <col min="12" max="12" width="9.140625" style="4"/>
    <col min="13" max="16" width="0" style="4" hidden="1" customWidth="1"/>
    <col min="17" max="17" width="11" style="4" bestFit="1" customWidth="1"/>
    <col min="18" max="16384" width="9.140625" style="4"/>
  </cols>
  <sheetData>
    <row r="1" spans="1:17" ht="12.95">
      <c r="A1" s="1" t="s">
        <v>0</v>
      </c>
      <c r="B1" s="2"/>
      <c r="C1" s="2"/>
      <c r="D1" s="2"/>
      <c r="E1" s="2"/>
      <c r="F1" s="2"/>
      <c r="G1" s="2"/>
      <c r="H1" s="2"/>
      <c r="I1" s="3"/>
    </row>
    <row r="2" spans="1:17">
      <c r="A2" s="5" t="s">
        <v>1</v>
      </c>
      <c r="B2" s="6"/>
      <c r="C2" s="6"/>
      <c r="D2" s="6"/>
      <c r="H2" s="7" t="s">
        <v>2</v>
      </c>
      <c r="I2" s="8" t="s">
        <v>3</v>
      </c>
    </row>
    <row r="3" spans="1:17" s="13" customFormat="1" ht="14.1">
      <c r="A3" s="9" t="s">
        <v>4</v>
      </c>
      <c r="B3" s="10"/>
      <c r="C3" s="200"/>
      <c r="D3" s="200"/>
      <c r="E3" s="200"/>
      <c r="F3" s="200"/>
      <c r="G3" s="11"/>
      <c r="H3" s="11"/>
      <c r="I3" s="12"/>
    </row>
    <row r="4" spans="1:17" s="13" customFormat="1" ht="14.1">
      <c r="A4" s="9" t="s">
        <v>5</v>
      </c>
      <c r="B4" s="10" t="s">
        <v>6</v>
      </c>
      <c r="C4" s="201" t="s">
        <v>7</v>
      </c>
      <c r="D4" s="201"/>
      <c r="E4" s="201"/>
      <c r="F4" s="201"/>
      <c r="G4" s="11"/>
      <c r="H4" s="11"/>
      <c r="I4" s="12"/>
    </row>
    <row r="5" spans="1:17" s="13" customFormat="1" ht="14.1">
      <c r="A5" s="202" t="s">
        <v>8</v>
      </c>
      <c r="B5" s="203"/>
      <c r="C5" s="203"/>
      <c r="D5" s="203"/>
      <c r="E5" s="203"/>
      <c r="F5" s="203"/>
      <c r="G5" s="203"/>
      <c r="H5" s="203"/>
      <c r="I5" s="204"/>
    </row>
    <row r="6" spans="1:17" s="13" customFormat="1" ht="14.1">
      <c r="A6" s="202" t="s">
        <v>9</v>
      </c>
      <c r="B6" s="203"/>
      <c r="C6" s="203"/>
      <c r="D6" s="203"/>
      <c r="E6" s="203"/>
      <c r="F6" s="203"/>
      <c r="G6" s="203"/>
      <c r="H6" s="203"/>
      <c r="I6" s="204"/>
    </row>
    <row r="7" spans="1:17" s="13" customFormat="1" ht="14.1">
      <c r="A7" s="202" t="s">
        <v>10</v>
      </c>
      <c r="B7" s="203"/>
      <c r="C7" s="203"/>
      <c r="D7" s="203"/>
      <c r="E7" s="203"/>
      <c r="F7" s="203"/>
      <c r="G7" s="203"/>
      <c r="H7" s="203"/>
      <c r="I7" s="204"/>
    </row>
    <row r="8" spans="1:17" ht="13.5" thickBot="1">
      <c r="A8" s="15"/>
      <c r="B8" s="16"/>
      <c r="C8" s="16"/>
      <c r="D8" s="16"/>
      <c r="E8" s="14"/>
      <c r="F8" s="14"/>
      <c r="G8" s="14"/>
      <c r="H8" s="14"/>
      <c r="I8" s="17"/>
    </row>
    <row r="9" spans="1:17" ht="12" thickBot="1">
      <c r="A9" s="18"/>
      <c r="B9" s="205" t="s">
        <v>11</v>
      </c>
      <c r="C9" s="206"/>
      <c r="D9" s="207"/>
      <c r="E9" s="19" t="s">
        <v>12</v>
      </c>
      <c r="F9" s="20"/>
      <c r="G9" s="20"/>
      <c r="H9" s="20"/>
      <c r="I9" s="21"/>
    </row>
    <row r="10" spans="1:17">
      <c r="A10" s="18"/>
      <c r="B10" s="22" t="s">
        <v>13</v>
      </c>
      <c r="C10" s="23" t="s">
        <v>13</v>
      </c>
      <c r="D10" s="24" t="s">
        <v>13</v>
      </c>
      <c r="E10" s="25" t="s">
        <v>13</v>
      </c>
      <c r="F10" s="26" t="s">
        <v>13</v>
      </c>
      <c r="G10" s="26" t="s">
        <v>13</v>
      </c>
      <c r="H10" s="26" t="s">
        <v>13</v>
      </c>
      <c r="I10" s="27" t="s">
        <v>13</v>
      </c>
      <c r="K10" s="28"/>
    </row>
    <row r="11" spans="1:17">
      <c r="A11" s="18"/>
      <c r="B11" s="29">
        <v>2021</v>
      </c>
      <c r="C11" s="30">
        <v>2022</v>
      </c>
      <c r="D11" s="31">
        <v>2023</v>
      </c>
      <c r="E11" s="32">
        <v>2024</v>
      </c>
      <c r="F11" s="33">
        <v>2025</v>
      </c>
      <c r="G11" s="34">
        <v>2026</v>
      </c>
      <c r="H11" s="34">
        <v>2027</v>
      </c>
      <c r="I11" s="35">
        <v>2028</v>
      </c>
      <c r="M11" s="4">
        <v>1940000</v>
      </c>
      <c r="N11" s="4">
        <v>250</v>
      </c>
      <c r="O11" s="4">
        <v>7185</v>
      </c>
      <c r="P11" s="4">
        <f>+N11*O11</f>
        <v>1796250</v>
      </c>
    </row>
    <row r="12" spans="1:17">
      <c r="A12" s="36" t="s">
        <v>14</v>
      </c>
      <c r="B12" s="37"/>
      <c r="C12" s="38"/>
      <c r="D12" s="39"/>
      <c r="E12" s="40"/>
      <c r="F12" s="41"/>
      <c r="G12" s="41"/>
      <c r="H12" s="41"/>
      <c r="I12" s="42"/>
      <c r="N12" s="4">
        <v>300</v>
      </c>
      <c r="O12" s="4">
        <v>7185.11</v>
      </c>
      <c r="P12" s="4">
        <f>+N12*O12</f>
        <v>2155533</v>
      </c>
      <c r="Q12" s="28"/>
    </row>
    <row r="13" spans="1:17">
      <c r="A13" s="18" t="s">
        <v>15</v>
      </c>
      <c r="B13" s="43">
        <v>1818041.61</v>
      </c>
      <c r="C13" s="43">
        <f>1475548.47-105147</f>
        <v>1370401.47</v>
      </c>
      <c r="D13" s="44">
        <f>1163796.35+223852.58</f>
        <v>1387648.9300000002</v>
      </c>
      <c r="E13" s="45">
        <f>+'Spring worksheet'!AF10</f>
        <v>1292602.24</v>
      </c>
      <c r="F13" s="45">
        <f>+E13*1.1</f>
        <v>1421862.4640000002</v>
      </c>
      <c r="G13" s="45">
        <f>+F13*1.1</f>
        <v>1564048.7104000002</v>
      </c>
      <c r="H13" s="45">
        <f>+G13*1.1</f>
        <v>1720453.5814400003</v>
      </c>
      <c r="I13" s="45">
        <f>+H13*1.1</f>
        <v>1892498.9395840005</v>
      </c>
      <c r="N13" s="4">
        <v>325</v>
      </c>
      <c r="O13" s="4">
        <v>7185.11</v>
      </c>
      <c r="P13" s="4">
        <f>+N13*O13</f>
        <v>2335160.75</v>
      </c>
    </row>
    <row r="14" spans="1:17">
      <c r="A14" s="18" t="s">
        <v>16</v>
      </c>
      <c r="B14" s="46">
        <v>0</v>
      </c>
      <c r="C14" s="46"/>
      <c r="D14" s="47"/>
      <c r="E14" s="48">
        <v>0</v>
      </c>
      <c r="F14" s="49">
        <v>0</v>
      </c>
      <c r="G14" s="49">
        <v>0</v>
      </c>
      <c r="H14" s="49">
        <v>0</v>
      </c>
      <c r="I14" s="50">
        <v>0</v>
      </c>
      <c r="J14" s="51"/>
      <c r="N14" s="4">
        <v>350</v>
      </c>
      <c r="O14" s="4">
        <v>7185.11</v>
      </c>
      <c r="P14" s="4">
        <f>+N14*O14</f>
        <v>2514788.5</v>
      </c>
    </row>
    <row r="15" spans="1:17">
      <c r="A15" s="18" t="s">
        <v>17</v>
      </c>
      <c r="B15" s="46">
        <v>0</v>
      </c>
      <c r="C15" s="46"/>
      <c r="D15" s="47"/>
      <c r="E15" s="48">
        <v>0</v>
      </c>
      <c r="F15" s="49">
        <v>0</v>
      </c>
      <c r="G15" s="49">
        <v>0</v>
      </c>
      <c r="H15" s="49">
        <v>0</v>
      </c>
      <c r="I15" s="50">
        <v>0</v>
      </c>
      <c r="J15" s="51"/>
      <c r="K15" s="28"/>
      <c r="N15" s="4">
        <v>350</v>
      </c>
      <c r="O15" s="4">
        <v>7185.11</v>
      </c>
      <c r="P15" s="4">
        <f>+N15*O15</f>
        <v>2514788.5</v>
      </c>
    </row>
    <row r="16" spans="1:17">
      <c r="A16" s="18" t="s">
        <v>18</v>
      </c>
      <c r="B16" s="46">
        <v>99929.4</v>
      </c>
      <c r="C16" s="46">
        <f>12222.21+92925.15</f>
        <v>105147.35999999999</v>
      </c>
      <c r="D16" s="47">
        <f>69321.7+5706.85+4946.18+74735.57</f>
        <v>154710.30000000002</v>
      </c>
      <c r="E16" s="52">
        <f>+'Spring worksheet'!AF11+'Spring worksheet'!AF12+'Spring worksheet'!AF22+'Spring worksheet'!AF6+'Spring worksheet'!AF7</f>
        <v>223684.08000000002</v>
      </c>
      <c r="F16" s="48">
        <f>+E16*1.1</f>
        <v>246052.48800000004</v>
      </c>
      <c r="G16" s="48">
        <f>+F16*1.03</f>
        <v>253434.06264000005</v>
      </c>
      <c r="H16" s="48">
        <f>+G16*1.03</f>
        <v>261037.08451920006</v>
      </c>
      <c r="I16" s="48">
        <f>+H16*1.03</f>
        <v>268868.19705477607</v>
      </c>
      <c r="J16" s="51"/>
    </row>
    <row r="17" spans="1:16">
      <c r="A17" s="53" t="s">
        <v>19</v>
      </c>
      <c r="B17" s="54">
        <v>1917971.01</v>
      </c>
      <c r="C17" s="54">
        <f>SUM(C13:C16)</f>
        <v>1475548.83</v>
      </c>
      <c r="D17" s="55">
        <f>SUM(D13:D16)</f>
        <v>1542359.2300000002</v>
      </c>
      <c r="E17" s="56">
        <f t="shared" ref="E17:I17" si="0">SUM(E13:E16)</f>
        <v>1516286.32</v>
      </c>
      <c r="F17" s="57">
        <f t="shared" si="0"/>
        <v>1667914.9520000003</v>
      </c>
      <c r="G17" s="57">
        <f t="shared" si="0"/>
        <v>1817482.7730400003</v>
      </c>
      <c r="H17" s="57">
        <f t="shared" si="0"/>
        <v>1981490.6659592004</v>
      </c>
      <c r="I17" s="58">
        <f t="shared" si="0"/>
        <v>2161367.1366387764</v>
      </c>
      <c r="J17" s="51"/>
      <c r="K17" s="28"/>
    </row>
    <row r="18" spans="1:16">
      <c r="A18" s="53"/>
      <c r="B18" s="54"/>
      <c r="C18" s="54"/>
      <c r="D18" s="55"/>
      <c r="E18" s="56"/>
      <c r="F18" s="57"/>
      <c r="G18" s="57"/>
      <c r="H18" s="57"/>
      <c r="I18" s="58"/>
      <c r="J18" s="51"/>
      <c r="K18" s="28"/>
      <c r="N18" s="4">
        <v>750000</v>
      </c>
      <c r="O18" s="4">
        <f>35000*1.25</f>
        <v>43750</v>
      </c>
      <c r="P18" s="4">
        <f>(+N18+O18)*1.02</f>
        <v>809625</v>
      </c>
    </row>
    <row r="19" spans="1:16">
      <c r="A19" s="36" t="s">
        <v>20</v>
      </c>
      <c r="B19" s="59"/>
      <c r="C19" s="59"/>
      <c r="D19" s="60"/>
      <c r="E19" s="61"/>
      <c r="F19" s="62"/>
      <c r="G19" s="62"/>
      <c r="H19" s="62"/>
      <c r="I19" s="63"/>
      <c r="J19" s="51"/>
      <c r="K19" s="68"/>
      <c r="N19" s="4">
        <f>+P18</f>
        <v>809625</v>
      </c>
      <c r="O19" s="4">
        <v>43750</v>
      </c>
      <c r="P19" s="4">
        <f>(+N19+O19)*1.02</f>
        <v>870442.5</v>
      </c>
    </row>
    <row r="20" spans="1:16">
      <c r="A20" s="18" t="s">
        <v>21</v>
      </c>
      <c r="B20" s="43">
        <v>902339.09</v>
      </c>
      <c r="C20" s="43">
        <v>982547.61</v>
      </c>
      <c r="D20" s="44">
        <v>1410065.85</v>
      </c>
      <c r="E20" s="64">
        <f>+'Spring worksheet'!AF39</f>
        <v>1389159.97</v>
      </c>
      <c r="F20" s="64">
        <f>+E20*1.03-87000</f>
        <v>1343834.7690999999</v>
      </c>
      <c r="G20" s="64">
        <f>+F20*1.03</f>
        <v>1384149.8121729998</v>
      </c>
      <c r="H20" s="64">
        <f>+G20*1.03</f>
        <v>1425674.3065381898</v>
      </c>
      <c r="I20" s="64">
        <f>+H20*1.03</f>
        <v>1468444.5357343354</v>
      </c>
      <c r="J20" s="51"/>
      <c r="K20" s="68"/>
      <c r="N20" s="4">
        <f>+P19</f>
        <v>870442.5</v>
      </c>
      <c r="O20" s="4">
        <v>43750</v>
      </c>
      <c r="P20" s="4">
        <f>(+N20+O20)*1.02</f>
        <v>932476.35</v>
      </c>
    </row>
    <row r="21" spans="1:16">
      <c r="A21" s="18" t="s">
        <v>22</v>
      </c>
      <c r="B21" s="46">
        <v>333741.09999999998</v>
      </c>
      <c r="C21" s="46">
        <v>268762.08</v>
      </c>
      <c r="D21" s="47">
        <v>318823.46000000002</v>
      </c>
      <c r="E21" s="65">
        <f>+'Spring worksheet'!AF47</f>
        <v>348398.81</v>
      </c>
      <c r="F21" s="65">
        <f t="shared" ref="F21:I21" si="1">+E21*1.03</f>
        <v>358850.77429999999</v>
      </c>
      <c r="G21" s="65">
        <f t="shared" si="1"/>
        <v>369616.29752899997</v>
      </c>
      <c r="H21" s="65">
        <f t="shared" si="1"/>
        <v>380704.78645486996</v>
      </c>
      <c r="I21" s="65">
        <f t="shared" si="1"/>
        <v>392125.93004851608</v>
      </c>
      <c r="J21" s="51"/>
    </row>
    <row r="22" spans="1:16">
      <c r="A22" s="18" t="s">
        <v>23</v>
      </c>
      <c r="B22" s="46">
        <f>+B92</f>
        <v>922290.90039999993</v>
      </c>
      <c r="C22" s="46">
        <f>+C92</f>
        <v>1099982.3499999999</v>
      </c>
      <c r="D22" s="47">
        <f>+D92</f>
        <v>1065669.8699999999</v>
      </c>
      <c r="E22" s="65">
        <f>+E92</f>
        <v>1139679.96</v>
      </c>
      <c r="F22" s="65">
        <f t="shared" ref="F22:I22" si="2">+F92</f>
        <v>921184.89856000012</v>
      </c>
      <c r="G22" s="65">
        <f t="shared" si="2"/>
        <v>925671.93319120002</v>
      </c>
      <c r="H22" s="65">
        <f t="shared" si="2"/>
        <v>930592.16997877602</v>
      </c>
      <c r="I22" s="65">
        <f t="shared" si="2"/>
        <v>935988.46409916342</v>
      </c>
      <c r="J22" s="51"/>
    </row>
    <row r="23" spans="1:16">
      <c r="A23" s="18" t="s">
        <v>24</v>
      </c>
      <c r="B23" s="46">
        <v>49014.35</v>
      </c>
      <c r="C23" s="46">
        <v>82810.97</v>
      </c>
      <c r="D23" s="47">
        <v>81495.75</v>
      </c>
      <c r="E23" s="65">
        <f>+'Spring worksheet'!AF97</f>
        <v>63005.5</v>
      </c>
      <c r="F23" s="65">
        <f>60065.49-15000</f>
        <v>45065.49</v>
      </c>
      <c r="G23" s="65">
        <f>60065.49-28000</f>
        <v>32065.489999999998</v>
      </c>
      <c r="H23" s="65">
        <f>60065.49-15000-6200</f>
        <v>38865.49</v>
      </c>
      <c r="I23" s="65">
        <f t="shared" ref="I23" si="3">60065.49-15000</f>
        <v>45065.49</v>
      </c>
      <c r="J23" s="51"/>
    </row>
    <row r="24" spans="1:16">
      <c r="A24" s="18" t="s">
        <v>25</v>
      </c>
      <c r="B24" s="46">
        <v>39967.449999999997</v>
      </c>
      <c r="C24" s="46"/>
      <c r="D24" s="47"/>
      <c r="E24" s="65">
        <v>0</v>
      </c>
      <c r="F24" s="65">
        <v>0</v>
      </c>
      <c r="G24" s="65">
        <v>0</v>
      </c>
      <c r="H24" s="65">
        <v>0</v>
      </c>
      <c r="I24" s="65">
        <v>0</v>
      </c>
      <c r="J24" s="51"/>
    </row>
    <row r="25" spans="1:16">
      <c r="A25" s="18" t="s">
        <v>26</v>
      </c>
      <c r="B25" s="46">
        <v>0</v>
      </c>
      <c r="C25" s="46"/>
      <c r="D25" s="47"/>
      <c r="E25" s="65">
        <v>0</v>
      </c>
      <c r="F25" s="65">
        <v>0</v>
      </c>
      <c r="G25" s="65">
        <v>0</v>
      </c>
      <c r="H25" s="65">
        <v>0</v>
      </c>
      <c r="I25" s="65">
        <v>0</v>
      </c>
      <c r="J25" s="51"/>
    </row>
    <row r="26" spans="1:16">
      <c r="A26" s="18" t="s">
        <v>27</v>
      </c>
      <c r="B26" s="46">
        <v>135745.66</v>
      </c>
      <c r="C26" s="46">
        <v>50005.69</v>
      </c>
      <c r="D26" s="47">
        <v>15157</v>
      </c>
      <c r="E26" s="65">
        <f>+'Spring worksheet'!AF104</f>
        <v>23225.95</v>
      </c>
      <c r="F26" s="65">
        <v>1362.87</v>
      </c>
      <c r="G26" s="65">
        <v>1362.87</v>
      </c>
      <c r="H26" s="65">
        <v>1362.87</v>
      </c>
      <c r="I26" s="65">
        <v>1362.87</v>
      </c>
      <c r="J26" s="51"/>
    </row>
    <row r="27" spans="1:16">
      <c r="A27" s="18" t="s">
        <v>28</v>
      </c>
      <c r="B27" s="46">
        <v>0</v>
      </c>
      <c r="C27" s="46"/>
      <c r="D27" s="47"/>
      <c r="E27" s="65">
        <v>0</v>
      </c>
      <c r="F27" s="49">
        <v>0</v>
      </c>
      <c r="G27" s="49">
        <v>0</v>
      </c>
      <c r="H27" s="49">
        <v>0</v>
      </c>
      <c r="I27" s="50">
        <v>0</v>
      </c>
      <c r="J27" s="51"/>
    </row>
    <row r="28" spans="1:16">
      <c r="A28" s="18" t="s">
        <v>29</v>
      </c>
      <c r="B28" s="54">
        <v>2383098.5302000004</v>
      </c>
      <c r="C28" s="54">
        <v>2383098.5302000004</v>
      </c>
      <c r="D28" s="55">
        <f>SUM(D20:D27)</f>
        <v>2891211.9299999997</v>
      </c>
      <c r="E28" s="56">
        <f t="shared" ref="E28:I28" si="4">SUM(E20:E27)</f>
        <v>2963470.1900000004</v>
      </c>
      <c r="F28" s="57">
        <f t="shared" si="4"/>
        <v>2670298.8019600003</v>
      </c>
      <c r="G28" s="57">
        <f t="shared" si="4"/>
        <v>2712866.4028932005</v>
      </c>
      <c r="H28" s="57">
        <f t="shared" si="4"/>
        <v>2777199.622971836</v>
      </c>
      <c r="I28" s="58">
        <f t="shared" si="4"/>
        <v>2842987.2898820154</v>
      </c>
      <c r="J28" s="66"/>
    </row>
    <row r="29" spans="1:16">
      <c r="A29" s="18"/>
      <c r="B29" s="54"/>
      <c r="C29" s="54"/>
      <c r="D29" s="55"/>
      <c r="E29" s="56"/>
      <c r="F29" s="57"/>
      <c r="G29" s="57"/>
      <c r="H29" s="57"/>
      <c r="I29" s="58"/>
      <c r="J29" s="51"/>
    </row>
    <row r="30" spans="1:16">
      <c r="A30" s="18" t="s">
        <v>30</v>
      </c>
      <c r="B30" s="54"/>
      <c r="C30" s="54"/>
      <c r="D30" s="55"/>
      <c r="E30" s="56"/>
      <c r="F30" s="57"/>
      <c r="G30" s="57"/>
      <c r="H30" s="57"/>
      <c r="I30" s="58"/>
      <c r="J30" s="51"/>
    </row>
    <row r="31" spans="1:16">
      <c r="A31" s="18" t="s">
        <v>20</v>
      </c>
      <c r="B31" s="54">
        <v>-465127.52020000038</v>
      </c>
      <c r="C31" s="54">
        <v>-465127.52020000038</v>
      </c>
      <c r="D31" s="55">
        <f>+D17-D28</f>
        <v>-1348852.6999999995</v>
      </c>
      <c r="E31" s="56">
        <f>E17-E28</f>
        <v>-1447183.8700000003</v>
      </c>
      <c r="F31" s="56">
        <f>F17-F28</f>
        <v>-1002383.84996</v>
      </c>
      <c r="G31" s="56">
        <f>G17-G28</f>
        <v>-895383.62985320017</v>
      </c>
      <c r="H31" s="56">
        <f>H17-H28</f>
        <v>-795708.95701263566</v>
      </c>
      <c r="I31" s="56">
        <f>I17-I28</f>
        <v>-681620.15324323904</v>
      </c>
      <c r="J31" s="51"/>
    </row>
    <row r="32" spans="1:16">
      <c r="A32" s="18"/>
      <c r="B32" s="54"/>
      <c r="C32" s="54"/>
      <c r="D32" s="55"/>
      <c r="E32" s="56"/>
      <c r="F32" s="57"/>
      <c r="G32" s="57"/>
      <c r="H32" s="57"/>
      <c r="I32" s="58"/>
      <c r="J32" s="51"/>
    </row>
    <row r="33" spans="1:17">
      <c r="A33" s="36" t="s">
        <v>31</v>
      </c>
      <c r="B33" s="59"/>
      <c r="C33" s="59"/>
      <c r="D33" s="60"/>
      <c r="E33" s="61"/>
      <c r="F33" s="62"/>
      <c r="G33" s="62"/>
      <c r="H33" s="62"/>
      <c r="I33" s="63"/>
      <c r="J33" s="51"/>
    </row>
    <row r="34" spans="1:17">
      <c r="A34" s="18" t="s">
        <v>32</v>
      </c>
      <c r="B34" s="43">
        <v>600591.03</v>
      </c>
      <c r="C34" s="43">
        <v>1100663.3600000001</v>
      </c>
      <c r="D34" s="44">
        <v>1577559.39</v>
      </c>
      <c r="E34" s="67">
        <f>+'Spring worksheet'!AF20</f>
        <v>1170143.77</v>
      </c>
      <c r="F34" s="67">
        <f>603000+181000</f>
        <v>784000</v>
      </c>
      <c r="G34" s="67">
        <v>650000</v>
      </c>
      <c r="H34" s="67">
        <v>650000</v>
      </c>
      <c r="I34" s="67">
        <v>650000</v>
      </c>
      <c r="J34" s="51"/>
    </row>
    <row r="35" spans="1:17">
      <c r="A35" s="18" t="s">
        <v>33</v>
      </c>
      <c r="B35" s="46">
        <v>95268.77</v>
      </c>
      <c r="C35" s="46">
        <v>377006.94</v>
      </c>
      <c r="D35" s="47">
        <f>57706.57+2058.64</f>
        <v>59765.21</v>
      </c>
      <c r="E35" s="46">
        <f>+'Spring worksheet'!AF18</f>
        <v>277645.90000000002</v>
      </c>
      <c r="F35" s="46">
        <f>+E35*1.1</f>
        <v>305410.49000000005</v>
      </c>
      <c r="G35" s="46">
        <v>277645.90000000002</v>
      </c>
      <c r="H35" s="46">
        <v>277645.90000000002</v>
      </c>
      <c r="I35" s="46">
        <v>277645.90000000002</v>
      </c>
      <c r="J35" s="51"/>
      <c r="Q35" s="68"/>
    </row>
    <row r="36" spans="1:17">
      <c r="A36" s="18" t="s">
        <v>34</v>
      </c>
      <c r="B36" s="46">
        <v>0</v>
      </c>
      <c r="C36" s="46"/>
      <c r="D36" s="47"/>
      <c r="E36" s="48">
        <v>0</v>
      </c>
      <c r="F36" s="49">
        <v>0</v>
      </c>
      <c r="G36" s="49">
        <v>0</v>
      </c>
      <c r="H36" s="49">
        <v>0</v>
      </c>
      <c r="I36" s="50">
        <v>0</v>
      </c>
      <c r="J36" s="51"/>
    </row>
    <row r="37" spans="1:17">
      <c r="A37" s="18" t="s">
        <v>35</v>
      </c>
      <c r="B37" s="46">
        <v>0</v>
      </c>
      <c r="C37" s="46"/>
      <c r="D37" s="47"/>
      <c r="E37" s="48">
        <v>0</v>
      </c>
      <c r="F37" s="49">
        <v>0</v>
      </c>
      <c r="G37" s="49">
        <v>0</v>
      </c>
      <c r="H37" s="49">
        <v>0</v>
      </c>
      <c r="I37" s="50">
        <v>0</v>
      </c>
      <c r="J37" s="51"/>
    </row>
    <row r="38" spans="1:17">
      <c r="A38" s="18" t="s">
        <v>36</v>
      </c>
      <c r="B38" s="46">
        <v>8</v>
      </c>
      <c r="C38" s="46">
        <v>15</v>
      </c>
      <c r="D38" s="47">
        <v>14.37</v>
      </c>
      <c r="E38" s="48">
        <f>+'Spring worksheet'!AF4</f>
        <v>14.71</v>
      </c>
      <c r="F38" s="48">
        <v>9</v>
      </c>
      <c r="G38" s="48">
        <v>9</v>
      </c>
      <c r="H38" s="48">
        <v>9</v>
      </c>
      <c r="I38" s="48">
        <v>9</v>
      </c>
      <c r="J38" s="51"/>
    </row>
    <row r="39" spans="1:17">
      <c r="A39" s="18" t="s">
        <v>37</v>
      </c>
      <c r="B39" s="46"/>
      <c r="C39" s="46"/>
      <c r="D39" s="47"/>
      <c r="E39" s="48"/>
      <c r="F39" s="48"/>
      <c r="G39" s="48"/>
      <c r="H39" s="48"/>
      <c r="I39" s="48"/>
      <c r="J39" s="51"/>
    </row>
    <row r="40" spans="1:17">
      <c r="A40" s="18" t="s">
        <v>38</v>
      </c>
      <c r="B40" s="46"/>
      <c r="C40" s="46"/>
      <c r="D40" s="47"/>
      <c r="E40" s="48"/>
      <c r="F40" s="48"/>
      <c r="G40" s="48"/>
      <c r="H40" s="48"/>
      <c r="I40" s="48"/>
      <c r="J40" s="51"/>
    </row>
    <row r="41" spans="1:17">
      <c r="A41" s="18" t="s">
        <v>39</v>
      </c>
      <c r="B41" s="46"/>
      <c r="C41" s="46"/>
      <c r="D41" s="47"/>
      <c r="E41" s="48"/>
      <c r="F41" s="48">
        <f t="shared" ref="F41:H41" si="5">+E41</f>
        <v>0</v>
      </c>
      <c r="G41" s="48">
        <f t="shared" si="5"/>
        <v>0</v>
      </c>
      <c r="H41" s="48">
        <f t="shared" si="5"/>
        <v>0</v>
      </c>
      <c r="I41" s="48"/>
      <c r="J41" s="51"/>
      <c r="K41" s="68"/>
    </row>
    <row r="42" spans="1:17">
      <c r="A42" s="18" t="s">
        <v>40</v>
      </c>
      <c r="B42" s="46">
        <v>0</v>
      </c>
      <c r="C42" s="46"/>
      <c r="D42" s="47"/>
      <c r="E42" s="48">
        <v>0</v>
      </c>
      <c r="F42" s="49">
        <v>0</v>
      </c>
      <c r="G42" s="49">
        <v>0</v>
      </c>
      <c r="H42" s="49">
        <v>0</v>
      </c>
      <c r="I42" s="50">
        <v>0</v>
      </c>
      <c r="J42" s="51"/>
      <c r="K42" s="68"/>
    </row>
    <row r="43" spans="1:17">
      <c r="A43" s="18" t="s">
        <v>41</v>
      </c>
      <c r="B43" s="46">
        <v>0</v>
      </c>
      <c r="C43" s="46"/>
      <c r="D43" s="47"/>
      <c r="E43" s="48">
        <v>0</v>
      </c>
      <c r="F43" s="49">
        <v>0</v>
      </c>
      <c r="G43" s="49">
        <v>0</v>
      </c>
      <c r="H43" s="49">
        <v>0</v>
      </c>
      <c r="I43" s="50">
        <v>0</v>
      </c>
      <c r="J43" s="51"/>
    </row>
    <row r="44" spans="1:17">
      <c r="A44" s="18" t="s">
        <v>42</v>
      </c>
      <c r="B44" s="54">
        <v>695867.8</v>
      </c>
      <c r="C44" s="54">
        <v>695867.8</v>
      </c>
      <c r="D44" s="55">
        <f>SUM(D34:D43)</f>
        <v>1637338.97</v>
      </c>
      <c r="E44" s="56">
        <f>SUM(E34:E43)</f>
        <v>1447804.38</v>
      </c>
      <c r="F44" s="56">
        <f t="shared" ref="F44:I44" si="6">SUM(F34:F43)</f>
        <v>1089419.49</v>
      </c>
      <c r="G44" s="56">
        <f t="shared" si="6"/>
        <v>927654.9</v>
      </c>
      <c r="H44" s="56">
        <f t="shared" si="6"/>
        <v>927654.9</v>
      </c>
      <c r="I44" s="56">
        <f t="shared" si="6"/>
        <v>927654.9</v>
      </c>
      <c r="J44" s="51"/>
    </row>
    <row r="45" spans="1:17">
      <c r="A45" s="18"/>
      <c r="B45" s="69"/>
      <c r="C45" s="69"/>
      <c r="D45" s="70"/>
      <c r="E45" s="71"/>
      <c r="F45" s="72"/>
      <c r="G45" s="72"/>
      <c r="H45" s="72"/>
      <c r="I45" s="73"/>
      <c r="J45" s="51"/>
    </row>
    <row r="46" spans="1:17">
      <c r="A46" s="18"/>
      <c r="B46" s="69"/>
      <c r="C46" s="69"/>
      <c r="D46" s="70"/>
      <c r="E46" s="71"/>
      <c r="F46" s="72"/>
      <c r="G46" s="72"/>
      <c r="H46" s="72"/>
      <c r="I46" s="73"/>
      <c r="J46" s="51"/>
    </row>
    <row r="47" spans="1:17">
      <c r="A47" s="18" t="s">
        <v>43</v>
      </c>
      <c r="B47" s="69"/>
      <c r="C47" s="69"/>
      <c r="D47" s="70"/>
      <c r="E47" s="71"/>
      <c r="F47" s="72"/>
      <c r="G47" s="72"/>
      <c r="H47" s="72"/>
      <c r="I47" s="73"/>
      <c r="J47" s="51"/>
    </row>
    <row r="48" spans="1:17">
      <c r="A48" s="18" t="s">
        <v>44</v>
      </c>
      <c r="B48" s="69"/>
      <c r="C48" s="69"/>
      <c r="D48" s="70"/>
      <c r="E48" s="71"/>
      <c r="F48" s="72"/>
      <c r="G48" s="72"/>
      <c r="H48" s="72"/>
      <c r="I48" s="73"/>
      <c r="J48" s="51"/>
    </row>
    <row r="49" spans="1:10">
      <c r="A49" s="18" t="s">
        <v>45</v>
      </c>
      <c r="B49" s="74">
        <v>230740.27979999967</v>
      </c>
      <c r="C49" s="74">
        <v>230740.27979999967</v>
      </c>
      <c r="D49" s="75">
        <f>+D31+D44</f>
        <v>288486.27000000048</v>
      </c>
      <c r="E49" s="71">
        <f>E31+E44</f>
        <v>620.50999999954365</v>
      </c>
      <c r="F49" s="72">
        <f>F31+F44</f>
        <v>87035.640039999969</v>
      </c>
      <c r="G49" s="72">
        <f>G31+G44</f>
        <v>32271.270146799856</v>
      </c>
      <c r="H49" s="72">
        <f>H31+H44</f>
        <v>131945.94298736437</v>
      </c>
      <c r="I49" s="73">
        <f>I31+I44</f>
        <v>246034.74675676099</v>
      </c>
      <c r="J49" s="51"/>
    </row>
    <row r="50" spans="1:10">
      <c r="A50" s="18"/>
      <c r="B50" s="69"/>
      <c r="C50" s="69"/>
      <c r="D50" s="70"/>
      <c r="E50" s="71"/>
      <c r="F50" s="72"/>
      <c r="G50" s="72"/>
      <c r="H50" s="72"/>
      <c r="I50" s="73"/>
      <c r="J50" s="51"/>
    </row>
    <row r="51" spans="1:10">
      <c r="A51" s="18" t="s">
        <v>46</v>
      </c>
      <c r="B51" s="69">
        <v>727</v>
      </c>
      <c r="C51" s="69">
        <f>+B53</f>
        <v>231467.27979999967</v>
      </c>
      <c r="D51" s="70">
        <f>+C53</f>
        <v>462207.55959999934</v>
      </c>
      <c r="E51" s="71">
        <f>+D53</f>
        <v>750693.82959999982</v>
      </c>
      <c r="F51" s="72">
        <f>E53</f>
        <v>751314.33959999937</v>
      </c>
      <c r="G51" s="72">
        <f>F53</f>
        <v>838349.97963999934</v>
      </c>
      <c r="H51" s="72">
        <f>G53</f>
        <v>870621.24978679919</v>
      </c>
      <c r="I51" s="73">
        <f>H53</f>
        <v>1002567.1927741636</v>
      </c>
      <c r="J51" s="51"/>
    </row>
    <row r="52" spans="1:10">
      <c r="A52" s="18"/>
      <c r="B52" s="69"/>
      <c r="C52" s="69"/>
      <c r="D52" s="70"/>
      <c r="E52" s="71"/>
      <c r="F52" s="72"/>
      <c r="G52" s="72"/>
      <c r="H52" s="72"/>
      <c r="I52" s="73"/>
    </row>
    <row r="53" spans="1:10" ht="12" thickBot="1">
      <c r="A53" s="18" t="s">
        <v>47</v>
      </c>
      <c r="B53" s="76">
        <v>231467.27979999967</v>
      </c>
      <c r="C53" s="76">
        <f t="shared" ref="C53:H53" si="7">+C49+C51</f>
        <v>462207.55959999934</v>
      </c>
      <c r="D53" s="77">
        <f t="shared" si="7"/>
        <v>750693.82959999982</v>
      </c>
      <c r="E53" s="78">
        <f t="shared" si="7"/>
        <v>751314.33959999937</v>
      </c>
      <c r="F53" s="79">
        <f t="shared" si="7"/>
        <v>838349.97963999934</v>
      </c>
      <c r="G53" s="79">
        <f t="shared" si="7"/>
        <v>870621.24978679919</v>
      </c>
      <c r="H53" s="79">
        <f t="shared" si="7"/>
        <v>1002567.1927741636</v>
      </c>
      <c r="I53" s="80">
        <f>+I49+I52</f>
        <v>246034.74675676099</v>
      </c>
    </row>
    <row r="54" spans="1:10">
      <c r="A54" s="18"/>
      <c r="B54" s="28"/>
      <c r="C54" s="28"/>
      <c r="D54" s="28"/>
      <c r="E54" s="28"/>
      <c r="F54" s="28"/>
      <c r="G54" s="28"/>
      <c r="H54" s="28"/>
      <c r="I54" s="28"/>
    </row>
    <row r="55" spans="1:10">
      <c r="A55" s="36" t="s">
        <v>48</v>
      </c>
      <c r="B55" s="81">
        <v>0</v>
      </c>
      <c r="C55" s="81">
        <v>0</v>
      </c>
      <c r="D55" s="81">
        <v>0</v>
      </c>
      <c r="E55" s="28">
        <v>0</v>
      </c>
      <c r="F55" s="28">
        <v>0</v>
      </c>
      <c r="G55" s="28">
        <v>0</v>
      </c>
      <c r="H55" s="28">
        <v>0</v>
      </c>
      <c r="I55" s="28">
        <v>0</v>
      </c>
    </row>
    <row r="56" spans="1:10">
      <c r="A56" s="36"/>
      <c r="B56" s="81">
        <v>0</v>
      </c>
      <c r="C56" s="81">
        <v>0</v>
      </c>
      <c r="D56" s="81">
        <v>0</v>
      </c>
      <c r="E56" s="28">
        <v>0</v>
      </c>
      <c r="F56" s="28">
        <v>0</v>
      </c>
      <c r="G56" s="28">
        <v>0</v>
      </c>
      <c r="H56" s="28">
        <v>0</v>
      </c>
      <c r="I56" s="28">
        <v>0</v>
      </c>
    </row>
    <row r="57" spans="1:10">
      <c r="A57" s="18" t="s">
        <v>49</v>
      </c>
      <c r="B57" s="82">
        <v>0</v>
      </c>
      <c r="C57" s="81">
        <v>0</v>
      </c>
      <c r="D57" s="81">
        <v>0</v>
      </c>
      <c r="E57" s="83">
        <v>0</v>
      </c>
      <c r="F57" s="83">
        <v>0</v>
      </c>
      <c r="G57" s="83">
        <v>0</v>
      </c>
      <c r="H57" s="83">
        <v>0</v>
      </c>
      <c r="I57" s="83">
        <v>0</v>
      </c>
    </row>
    <row r="58" spans="1:10">
      <c r="A58" s="18" t="s">
        <v>50</v>
      </c>
      <c r="B58" s="82">
        <v>0</v>
      </c>
      <c r="C58" s="81">
        <v>0</v>
      </c>
      <c r="D58" s="81">
        <v>0</v>
      </c>
      <c r="E58" s="83">
        <v>0</v>
      </c>
      <c r="F58" s="83">
        <v>0</v>
      </c>
      <c r="G58" s="83">
        <v>0</v>
      </c>
      <c r="H58" s="83">
        <v>0</v>
      </c>
      <c r="I58" s="83">
        <v>0</v>
      </c>
    </row>
    <row r="59" spans="1:10">
      <c r="A59" s="18" t="s">
        <v>51</v>
      </c>
      <c r="B59" s="82">
        <v>0</v>
      </c>
      <c r="C59" s="81">
        <v>0</v>
      </c>
      <c r="D59" s="81">
        <v>0</v>
      </c>
      <c r="E59" s="83">
        <v>0</v>
      </c>
      <c r="F59" s="83">
        <v>0</v>
      </c>
      <c r="G59" s="83">
        <v>0</v>
      </c>
      <c r="H59" s="83">
        <v>0</v>
      </c>
      <c r="I59" s="83">
        <v>0</v>
      </c>
    </row>
    <row r="60" spans="1:10">
      <c r="A60" s="18" t="s">
        <v>52</v>
      </c>
      <c r="B60" s="82">
        <v>0</v>
      </c>
      <c r="C60" s="81">
        <v>0</v>
      </c>
      <c r="D60" s="81">
        <v>0</v>
      </c>
      <c r="E60" s="83">
        <v>0</v>
      </c>
      <c r="F60" s="83">
        <v>0</v>
      </c>
      <c r="G60" s="83">
        <v>0</v>
      </c>
      <c r="H60" s="83">
        <v>0</v>
      </c>
      <c r="I60" s="83">
        <v>0</v>
      </c>
    </row>
    <row r="61" spans="1:10">
      <c r="A61" s="18" t="s">
        <v>53</v>
      </c>
      <c r="B61" s="82">
        <v>0</v>
      </c>
      <c r="C61" s="81">
        <v>0</v>
      </c>
      <c r="D61" s="81">
        <v>0</v>
      </c>
      <c r="E61" s="83">
        <v>0</v>
      </c>
      <c r="F61" s="83">
        <v>0</v>
      </c>
      <c r="G61" s="83">
        <v>0</v>
      </c>
      <c r="H61" s="83">
        <v>0</v>
      </c>
      <c r="I61" s="83">
        <v>0</v>
      </c>
    </row>
    <row r="62" spans="1:10">
      <c r="A62" s="18" t="s">
        <v>54</v>
      </c>
      <c r="B62" s="82">
        <v>0</v>
      </c>
      <c r="C62" s="81">
        <v>0</v>
      </c>
      <c r="D62" s="81">
        <v>0</v>
      </c>
      <c r="E62" s="83">
        <v>0</v>
      </c>
      <c r="F62" s="83">
        <v>0</v>
      </c>
      <c r="G62" s="83">
        <v>0</v>
      </c>
      <c r="H62" s="83">
        <v>0</v>
      </c>
      <c r="I62" s="83">
        <v>0</v>
      </c>
    </row>
    <row r="63" spans="1:10">
      <c r="A63" s="18"/>
      <c r="B63" s="84"/>
      <c r="C63" s="85"/>
      <c r="D63" s="85"/>
      <c r="E63" s="84"/>
      <c r="F63" s="84"/>
      <c r="G63" s="84"/>
      <c r="H63" s="84"/>
      <c r="I63" s="84"/>
    </row>
    <row r="64" spans="1:10" ht="14.45" thickBot="1">
      <c r="A64" s="86" t="s">
        <v>55</v>
      </c>
      <c r="B64" s="84"/>
      <c r="C64" s="85"/>
      <c r="D64" s="85"/>
      <c r="E64" s="84"/>
      <c r="F64" s="84"/>
      <c r="G64" s="84"/>
      <c r="H64" s="84"/>
      <c r="I64" s="84"/>
    </row>
    <row r="65" spans="1:27" s="87" customFormat="1" ht="13.5" customHeight="1" thickBot="1">
      <c r="A65" s="36"/>
      <c r="B65" s="205" t="s">
        <v>11</v>
      </c>
      <c r="C65" s="206"/>
      <c r="D65" s="207"/>
      <c r="E65" s="208" t="s">
        <v>12</v>
      </c>
      <c r="F65" s="209"/>
      <c r="G65" s="209"/>
      <c r="H65" s="209"/>
      <c r="I65" s="210"/>
    </row>
    <row r="66" spans="1:27">
      <c r="A66" s="18"/>
      <c r="B66" s="22" t="s">
        <v>13</v>
      </c>
      <c r="C66" s="23" t="s">
        <v>13</v>
      </c>
      <c r="D66" s="24" t="s">
        <v>13</v>
      </c>
      <c r="E66" s="25" t="s">
        <v>13</v>
      </c>
      <c r="F66" s="26" t="s">
        <v>13</v>
      </c>
      <c r="G66" s="26" t="s">
        <v>13</v>
      </c>
      <c r="H66" s="26" t="s">
        <v>13</v>
      </c>
      <c r="I66" s="27" t="s">
        <v>13</v>
      </c>
    </row>
    <row r="67" spans="1:27">
      <c r="A67" s="36" t="s">
        <v>56</v>
      </c>
      <c r="B67" s="29">
        <v>2021</v>
      </c>
      <c r="C67" s="30">
        <v>2022</v>
      </c>
      <c r="D67" s="31">
        <v>2023</v>
      </c>
      <c r="E67" s="32">
        <v>2024</v>
      </c>
      <c r="F67" s="33">
        <v>2025</v>
      </c>
      <c r="G67" s="34">
        <v>2026</v>
      </c>
      <c r="H67" s="34">
        <v>2027</v>
      </c>
      <c r="I67" s="35">
        <v>2028</v>
      </c>
    </row>
    <row r="68" spans="1:27">
      <c r="A68" s="18" t="s">
        <v>57</v>
      </c>
      <c r="B68" s="88">
        <v>270</v>
      </c>
      <c r="C68" s="88">
        <v>230</v>
      </c>
      <c r="D68" s="88">
        <v>153</v>
      </c>
      <c r="E68" s="88">
        <v>144</v>
      </c>
      <c r="F68" s="88">
        <f>+E68*1.1</f>
        <v>158.4</v>
      </c>
      <c r="G68" s="88">
        <f>+F68*1.1</f>
        <v>174.24</v>
      </c>
      <c r="H68" s="88">
        <f>+G68*1.1</f>
        <v>191.66400000000002</v>
      </c>
      <c r="I68" s="88">
        <f>+H68*1.1</f>
        <v>210.83040000000003</v>
      </c>
      <c r="K68" s="177"/>
      <c r="L68" s="177"/>
      <c r="M68" s="177"/>
      <c r="N68" s="177"/>
      <c r="O68" s="177"/>
      <c r="P68" s="177"/>
      <c r="Q68" s="177"/>
      <c r="R68" s="177"/>
      <c r="S68" s="177"/>
      <c r="T68" s="177"/>
      <c r="U68" s="177"/>
      <c r="V68" s="177"/>
      <c r="W68" s="177"/>
      <c r="X68" s="177"/>
      <c r="Y68" s="177"/>
      <c r="Z68" s="177"/>
      <c r="AA68" s="177"/>
    </row>
    <row r="69" spans="1:27">
      <c r="A69" s="18" t="s">
        <v>58</v>
      </c>
      <c r="B69" s="88">
        <v>21</v>
      </c>
      <c r="C69" s="88">
        <v>25</v>
      </c>
      <c r="D69" s="88">
        <v>25</v>
      </c>
      <c r="E69" s="88">
        <v>25</v>
      </c>
      <c r="F69" s="88">
        <v>25</v>
      </c>
      <c r="G69" s="88">
        <v>25</v>
      </c>
      <c r="H69" s="88">
        <v>25</v>
      </c>
      <c r="I69" s="88">
        <v>25</v>
      </c>
      <c r="K69" s="177"/>
      <c r="L69" s="177"/>
      <c r="M69" s="177"/>
      <c r="N69" s="177"/>
      <c r="O69" s="177"/>
      <c r="P69" s="177"/>
      <c r="Q69" s="177"/>
      <c r="R69" s="177"/>
      <c r="S69" s="177"/>
      <c r="T69" s="177"/>
      <c r="U69" s="177"/>
      <c r="V69" s="177"/>
      <c r="W69" s="177"/>
      <c r="X69" s="177"/>
      <c r="Y69" s="177"/>
      <c r="Z69" s="177"/>
      <c r="AA69" s="177"/>
    </row>
    <row r="70" spans="1:27">
      <c r="A70" s="18" t="s">
        <v>59</v>
      </c>
      <c r="B70" s="88">
        <v>2</v>
      </c>
      <c r="C70" s="88">
        <v>3</v>
      </c>
      <c r="D70" s="88">
        <v>3</v>
      </c>
      <c r="E70" s="88">
        <v>3</v>
      </c>
      <c r="F70" s="88">
        <v>3</v>
      </c>
      <c r="G70" s="88">
        <v>3</v>
      </c>
      <c r="H70" s="88">
        <v>3</v>
      </c>
      <c r="I70" s="88">
        <v>3</v>
      </c>
    </row>
    <row r="71" spans="1:27" ht="12" thickBot="1">
      <c r="A71" s="18" t="s">
        <v>60</v>
      </c>
      <c r="B71" s="89">
        <v>3</v>
      </c>
      <c r="C71" s="89">
        <v>1</v>
      </c>
      <c r="D71" s="89">
        <v>1</v>
      </c>
      <c r="E71" s="89">
        <v>1</v>
      </c>
      <c r="F71" s="89">
        <v>1</v>
      </c>
      <c r="G71" s="89">
        <v>1</v>
      </c>
      <c r="H71" s="89">
        <v>1</v>
      </c>
      <c r="I71" s="89">
        <v>1</v>
      </c>
    </row>
    <row r="72" spans="1:27">
      <c r="A72" s="18"/>
      <c r="B72" s="90"/>
      <c r="C72" s="91"/>
      <c r="D72" s="91"/>
      <c r="E72" s="92"/>
      <c r="F72" s="92"/>
      <c r="G72" s="93"/>
      <c r="H72" s="93"/>
      <c r="I72" s="94"/>
    </row>
    <row r="73" spans="1:27" ht="12" thickBot="1">
      <c r="A73" s="36" t="s">
        <v>61</v>
      </c>
      <c r="B73" s="90"/>
      <c r="C73" s="91"/>
      <c r="D73" s="91"/>
      <c r="E73" s="92"/>
      <c r="F73" s="92"/>
      <c r="G73" s="93"/>
      <c r="H73" s="93"/>
      <c r="I73" s="94"/>
    </row>
    <row r="74" spans="1:27">
      <c r="A74" s="18" t="s">
        <v>62</v>
      </c>
      <c r="B74" s="95">
        <v>235000</v>
      </c>
      <c r="C74" s="95">
        <v>149411.51</v>
      </c>
      <c r="D74" s="96">
        <v>150257.68</v>
      </c>
      <c r="E74" s="97">
        <f>+'Spring worksheet'!AF69</f>
        <v>153637.34</v>
      </c>
      <c r="F74" s="97">
        <v>150253.56</v>
      </c>
      <c r="G74" s="97">
        <v>150253.56</v>
      </c>
      <c r="H74" s="97">
        <v>150253.56</v>
      </c>
      <c r="I74" s="97">
        <v>150253.56</v>
      </c>
    </row>
    <row r="75" spans="1:27">
      <c r="A75" s="18" t="s">
        <v>63</v>
      </c>
      <c r="B75" s="98">
        <v>55424.09</v>
      </c>
      <c r="C75" s="98">
        <v>60816.99</v>
      </c>
      <c r="D75" s="99">
        <f>13873.69-698.99+22020.24+8982.28</f>
        <v>44177.22</v>
      </c>
      <c r="E75" s="100">
        <f>+'Spring worksheet'!AF82+'Spring worksheet'!AF81+'Spring worksheet'!AF80+'Spring worksheet'!AF75</f>
        <v>51981.43</v>
      </c>
      <c r="F75" s="100">
        <v>50977.02</v>
      </c>
      <c r="G75" s="100">
        <v>50977.02</v>
      </c>
      <c r="H75" s="100">
        <v>50977.02</v>
      </c>
      <c r="I75" s="100">
        <v>50977.02</v>
      </c>
    </row>
    <row r="76" spans="1:27">
      <c r="A76" s="18" t="s">
        <v>64</v>
      </c>
      <c r="B76" s="98">
        <v>36936.340000000004</v>
      </c>
      <c r="C76" s="98">
        <v>39787.760000000002</v>
      </c>
      <c r="D76" s="99">
        <v>39461.08</v>
      </c>
      <c r="E76" s="100">
        <f>+'Spring worksheet'!AF65+'Spring worksheet'!AF66+'Spring worksheet'!AF67+'Spring worksheet'!AF68+'Spring worksheet'!AF70+'Spring worksheet'!AF71</f>
        <v>72488.98000000001</v>
      </c>
      <c r="F76" s="100">
        <v>39749.599999999999</v>
      </c>
      <c r="G76" s="100">
        <v>39749.599999999999</v>
      </c>
      <c r="H76" s="100">
        <v>39749.599999999999</v>
      </c>
      <c r="I76" s="100">
        <v>39749.599999999999</v>
      </c>
    </row>
    <row r="77" spans="1:27">
      <c r="A77" s="18" t="s">
        <v>65</v>
      </c>
      <c r="B77" s="98">
        <v>31787.11</v>
      </c>
      <c r="C77" s="98">
        <v>40400.79</v>
      </c>
      <c r="D77" s="99">
        <v>32263.200000000001</v>
      </c>
      <c r="E77" s="100">
        <f>+'Spring worksheet'!AF85</f>
        <v>33688.6</v>
      </c>
      <c r="F77" s="100">
        <v>33000</v>
      </c>
      <c r="G77" s="100">
        <v>33000</v>
      </c>
      <c r="H77" s="100">
        <v>33000</v>
      </c>
      <c r="I77" s="100">
        <v>33000</v>
      </c>
    </row>
    <row r="78" spans="1:27">
      <c r="A78" s="18" t="s">
        <v>66</v>
      </c>
      <c r="B78" s="98">
        <v>120000</v>
      </c>
      <c r="C78" s="98">
        <v>120000</v>
      </c>
      <c r="D78" s="99">
        <v>140000</v>
      </c>
      <c r="E78" s="100">
        <f>+'Spring worksheet'!AF56</f>
        <v>137500</v>
      </c>
      <c r="F78" s="100">
        <v>135000</v>
      </c>
      <c r="G78" s="100">
        <v>135000</v>
      </c>
      <c r="H78" s="100">
        <v>135000</v>
      </c>
      <c r="I78" s="100">
        <v>135000</v>
      </c>
    </row>
    <row r="79" spans="1:27">
      <c r="A79" s="18" t="s">
        <v>67</v>
      </c>
      <c r="B79" s="98">
        <v>54541.260199999997</v>
      </c>
      <c r="C79" s="98">
        <v>50748.27</v>
      </c>
      <c r="D79" s="99">
        <v>45602.720000000001</v>
      </c>
      <c r="E79" s="100">
        <f>+'Spring worksheet'!AF57</f>
        <v>50537.21</v>
      </c>
      <c r="F79" s="100">
        <f>+F17*0.03</f>
        <v>50037.448560000004</v>
      </c>
      <c r="G79" s="100">
        <f t="shared" ref="G79:I79" si="8">+G17*0.03</f>
        <v>54524.483191200008</v>
      </c>
      <c r="H79" s="100">
        <f t="shared" si="8"/>
        <v>59444.719978776011</v>
      </c>
      <c r="I79" s="100">
        <f t="shared" si="8"/>
        <v>64841.014099163287</v>
      </c>
      <c r="Q79" s="101"/>
    </row>
    <row r="80" spans="1:27">
      <c r="A80" s="18" t="s">
        <v>68</v>
      </c>
      <c r="B80" s="98">
        <v>41454.660000000003</v>
      </c>
      <c r="C80" s="98">
        <v>44211.34</v>
      </c>
      <c r="D80" s="99">
        <v>49441.5</v>
      </c>
      <c r="E80" s="100">
        <f>+'Spring worksheet'!AF60</f>
        <v>48970</v>
      </c>
      <c r="F80" s="100">
        <v>50096</v>
      </c>
      <c r="G80" s="100">
        <v>50096</v>
      </c>
      <c r="H80" s="100">
        <v>50096</v>
      </c>
      <c r="I80" s="100">
        <v>50096</v>
      </c>
    </row>
    <row r="81" spans="1:18">
      <c r="A81" s="18" t="s">
        <v>69</v>
      </c>
      <c r="B81" s="98">
        <v>20000</v>
      </c>
      <c r="C81" s="98"/>
      <c r="D81" s="99"/>
      <c r="E81" s="100"/>
      <c r="F81" s="100"/>
      <c r="G81" s="100"/>
      <c r="H81" s="100"/>
      <c r="I81" s="100"/>
    </row>
    <row r="82" spans="1:18">
      <c r="A82" s="18" t="s">
        <v>70</v>
      </c>
      <c r="B82" s="98"/>
      <c r="C82" s="98">
        <v>86390</v>
      </c>
      <c r="D82" s="99">
        <v>114104.23</v>
      </c>
      <c r="E82" s="100">
        <f>+'Spring worksheet'!AF84</f>
        <v>116120</v>
      </c>
      <c r="F82" s="100">
        <v>101800</v>
      </c>
      <c r="G82" s="100">
        <v>101800</v>
      </c>
      <c r="H82" s="100">
        <v>101800</v>
      </c>
      <c r="I82" s="100">
        <v>101800</v>
      </c>
    </row>
    <row r="83" spans="1:18">
      <c r="A83" s="18" t="s">
        <v>71</v>
      </c>
      <c r="B83" s="102"/>
      <c r="C83" s="102">
        <v>0</v>
      </c>
      <c r="D83" s="99">
        <v>0</v>
      </c>
      <c r="E83" s="100">
        <f>+C83</f>
        <v>0</v>
      </c>
      <c r="F83" s="100">
        <v>0</v>
      </c>
      <c r="G83" s="100">
        <v>0</v>
      </c>
      <c r="H83" s="100">
        <v>0</v>
      </c>
      <c r="I83" s="100">
        <v>0</v>
      </c>
    </row>
    <row r="84" spans="1:18">
      <c r="A84" s="18" t="s">
        <v>72</v>
      </c>
      <c r="B84" s="98">
        <v>13169.29</v>
      </c>
      <c r="C84" s="98">
        <v>20212.34</v>
      </c>
      <c r="D84" s="99">
        <v>19763.73</v>
      </c>
      <c r="E84" s="100">
        <f>+'Spring worksheet'!AF79</f>
        <v>28063.95</v>
      </c>
      <c r="F84" s="100">
        <v>2000</v>
      </c>
      <c r="G84" s="100">
        <v>2000</v>
      </c>
      <c r="H84" s="100">
        <v>2000</v>
      </c>
      <c r="I84" s="100">
        <v>2000</v>
      </c>
    </row>
    <row r="85" spans="1:18" ht="14.45">
      <c r="A85" s="18" t="s">
        <v>73</v>
      </c>
      <c r="B85" s="98">
        <v>166499.88020000001</v>
      </c>
      <c r="C85" s="98">
        <v>245005.69999999998</v>
      </c>
      <c r="D85" s="99">
        <f>1065669.7-867562</f>
        <v>198107.69999999995</v>
      </c>
      <c r="E85" s="100">
        <f>1125841-1059341+1126</f>
        <v>67626</v>
      </c>
      <c r="F85" s="100">
        <f>165682.25-90000</f>
        <v>75682.25</v>
      </c>
      <c r="G85" s="100">
        <f t="shared" ref="G85:I85" si="9">165682.25-90000</f>
        <v>75682.25</v>
      </c>
      <c r="H85" s="100">
        <f t="shared" si="9"/>
        <v>75682.25</v>
      </c>
      <c r="I85" s="100">
        <f t="shared" si="9"/>
        <v>75682.25</v>
      </c>
      <c r="R85" s="103"/>
    </row>
    <row r="86" spans="1:18">
      <c r="A86" s="18" t="s">
        <v>74</v>
      </c>
      <c r="B86" s="98"/>
      <c r="C86" s="98"/>
      <c r="D86" s="99"/>
      <c r="E86" s="100"/>
      <c r="F86" s="100"/>
      <c r="G86" s="100"/>
      <c r="H86" s="100"/>
      <c r="I86" s="100"/>
    </row>
    <row r="87" spans="1:18">
      <c r="A87" s="18" t="s">
        <v>75</v>
      </c>
      <c r="B87" s="98"/>
      <c r="C87" s="98">
        <v>28053.5</v>
      </c>
      <c r="D87" s="99">
        <f>28255+8484.15</f>
        <v>36739.15</v>
      </c>
      <c r="E87" s="100">
        <f>+'Spring worksheet'!AF58+'Spring worksheet'!AF62</f>
        <v>147656.20000000001</v>
      </c>
      <c r="F87" s="100">
        <v>32040.190000000002</v>
      </c>
      <c r="G87" s="100">
        <v>32040.190000000002</v>
      </c>
      <c r="H87" s="100">
        <v>32040.190000000002</v>
      </c>
      <c r="I87" s="100">
        <v>32040.190000000002</v>
      </c>
    </row>
    <row r="88" spans="1:18">
      <c r="A88" s="18" t="s">
        <v>76</v>
      </c>
      <c r="B88" s="98"/>
      <c r="C88" s="98">
        <v>29956.29</v>
      </c>
      <c r="D88" s="99">
        <v>41707.85</v>
      </c>
      <c r="E88" s="100">
        <f>+'Spring worksheet'!AF54+'Spring worksheet'!AF55</f>
        <v>47324.5</v>
      </c>
      <c r="F88" s="100">
        <v>44746.25</v>
      </c>
      <c r="G88" s="100">
        <v>44746.25</v>
      </c>
      <c r="H88" s="100">
        <v>44746.25</v>
      </c>
      <c r="I88" s="100">
        <v>44746.25</v>
      </c>
    </row>
    <row r="89" spans="1:18">
      <c r="A89" s="18" t="s">
        <v>77</v>
      </c>
      <c r="B89" s="98"/>
      <c r="C89" s="98"/>
      <c r="D89" s="99"/>
      <c r="E89" s="100"/>
      <c r="F89" s="100"/>
      <c r="G89" s="100"/>
      <c r="H89" s="100"/>
      <c r="I89" s="100"/>
    </row>
    <row r="90" spans="1:18">
      <c r="A90" s="18" t="s">
        <v>78</v>
      </c>
      <c r="B90" s="98">
        <v>66950.84</v>
      </c>
      <c r="C90" s="98">
        <v>170996.64</v>
      </c>
      <c r="D90" s="99">
        <v>141041.35</v>
      </c>
      <c r="E90" s="100">
        <f>+'Spring worksheet'!AF83</f>
        <v>160859.79999999999</v>
      </c>
      <c r="F90" s="100">
        <v>146503.15</v>
      </c>
      <c r="G90" s="100">
        <v>146503.15</v>
      </c>
      <c r="H90" s="100">
        <v>146503.15</v>
      </c>
      <c r="I90" s="100">
        <v>146503.15</v>
      </c>
    </row>
    <row r="91" spans="1:18">
      <c r="A91" s="18" t="s">
        <v>79</v>
      </c>
      <c r="B91" s="98">
        <v>80527.429999999993</v>
      </c>
      <c r="C91" s="98">
        <v>13991.22</v>
      </c>
      <c r="D91" s="99">
        <v>13002.46</v>
      </c>
      <c r="E91" s="100">
        <f>+'Spring worksheet'!AF104</f>
        <v>23225.95</v>
      </c>
      <c r="F91" s="100">
        <v>9299.43</v>
      </c>
      <c r="G91" s="100">
        <v>9299.43</v>
      </c>
      <c r="H91" s="100">
        <v>9299.43</v>
      </c>
      <c r="I91" s="100">
        <v>9299.43</v>
      </c>
    </row>
    <row r="92" spans="1:18" s="87" customFormat="1" ht="12" thickBot="1">
      <c r="A92" s="18" t="s">
        <v>80</v>
      </c>
      <c r="B92" s="104">
        <f>SUM(B74:B91)</f>
        <v>922290.90039999993</v>
      </c>
      <c r="C92" s="104">
        <f>SUM(C74:C91)</f>
        <v>1099982.3499999999</v>
      </c>
      <c r="D92" s="105">
        <f>SUM(D74:D91)</f>
        <v>1065669.8699999999</v>
      </c>
      <c r="E92" s="106">
        <f t="shared" ref="E92:I92" si="10">SUM(E74:E91)</f>
        <v>1139679.96</v>
      </c>
      <c r="F92" s="106">
        <f t="shared" si="10"/>
        <v>921184.89856000012</v>
      </c>
      <c r="G92" s="106">
        <f t="shared" si="10"/>
        <v>925671.93319120002</v>
      </c>
      <c r="H92" s="106">
        <f t="shared" si="10"/>
        <v>930592.16997877602</v>
      </c>
      <c r="I92" s="106">
        <f t="shared" si="10"/>
        <v>935988.46409916342</v>
      </c>
    </row>
    <row r="93" spans="1:18" s="87" customFormat="1">
      <c r="A93" s="107"/>
      <c r="B93" s="108"/>
      <c r="C93" s="109"/>
      <c r="D93" s="109"/>
      <c r="E93" s="110"/>
      <c r="F93" s="110"/>
      <c r="G93" s="110"/>
      <c r="H93" s="110"/>
      <c r="I93" s="111"/>
    </row>
    <row r="94" spans="1:18" s="87" customFormat="1">
      <c r="A94" s="112"/>
      <c r="B94" s="113"/>
      <c r="C94" s="109"/>
      <c r="D94" s="109"/>
      <c r="E94" s="110"/>
      <c r="F94" s="110"/>
      <c r="G94" s="110"/>
      <c r="H94" s="110"/>
      <c r="I94" s="111"/>
    </row>
    <row r="95" spans="1:18" ht="12" thickBot="1">
      <c r="A95" s="36" t="s">
        <v>81</v>
      </c>
      <c r="B95" s="114"/>
      <c r="C95" s="115"/>
      <c r="D95" s="115"/>
      <c r="E95" s="116"/>
      <c r="I95" s="27"/>
    </row>
    <row r="96" spans="1:18">
      <c r="A96" s="18" t="s">
        <v>82</v>
      </c>
      <c r="B96" s="117">
        <v>0</v>
      </c>
      <c r="C96" s="118">
        <f>-(B40+B41)</f>
        <v>0</v>
      </c>
      <c r="D96" s="119">
        <f>-(C40+C41)</f>
        <v>0</v>
      </c>
      <c r="E96" s="120">
        <f t="shared" ref="E96:I96" si="11">-(E40+E41)</f>
        <v>0</v>
      </c>
      <c r="F96" s="121">
        <f t="shared" si="11"/>
        <v>0</v>
      </c>
      <c r="G96" s="121">
        <f t="shared" si="11"/>
        <v>0</v>
      </c>
      <c r="H96" s="121">
        <f t="shared" si="11"/>
        <v>0</v>
      </c>
      <c r="I96" s="122">
        <f t="shared" si="11"/>
        <v>0</v>
      </c>
    </row>
    <row r="97" spans="1:9">
      <c r="A97" s="18" t="s">
        <v>83</v>
      </c>
      <c r="B97" s="123">
        <f>IFERROR((#REF!+SUM(#REF!))/B96,0)</f>
        <v>0</v>
      </c>
      <c r="C97" s="124">
        <f>IFERROR((B31+SUM(B34:B38))/C96,0)</f>
        <v>0</v>
      </c>
      <c r="D97" s="125">
        <f>IFERROR((C31+SUM(C34:C38))/D96,0)</f>
        <v>0</v>
      </c>
      <c r="E97" s="126">
        <f t="shared" ref="E97:I97" si="12">IFERROR((E31+SUM(E34:E38))/E96,0)</f>
        <v>0</v>
      </c>
      <c r="F97" s="127">
        <f t="shared" si="12"/>
        <v>0</v>
      </c>
      <c r="G97" s="127">
        <f t="shared" si="12"/>
        <v>0</v>
      </c>
      <c r="H97" s="127">
        <f t="shared" si="12"/>
        <v>0</v>
      </c>
      <c r="I97" s="128">
        <f t="shared" si="12"/>
        <v>0</v>
      </c>
    </row>
    <row r="98" spans="1:9">
      <c r="A98" s="18" t="s">
        <v>84</v>
      </c>
      <c r="B98" s="129">
        <f>IFERROR((#REF!/#REF!)-1,0)</f>
        <v>0</v>
      </c>
      <c r="C98" s="130">
        <f>IFERROR((B68/#REF!)-1,0)</f>
        <v>0</v>
      </c>
      <c r="D98" s="131">
        <f>IFERROR((C68/B68)-1,0)</f>
        <v>-0.14814814814814814</v>
      </c>
      <c r="E98" s="132">
        <f>IFERROR((E68/C68)-1,0)</f>
        <v>-0.37391304347826082</v>
      </c>
      <c r="F98" s="133">
        <f t="shared" ref="F98:I98" si="13">IFERROR((F68/E68)-1,0)</f>
        <v>0.10000000000000009</v>
      </c>
      <c r="G98" s="133">
        <f t="shared" si="13"/>
        <v>0.10000000000000009</v>
      </c>
      <c r="H98" s="133">
        <f t="shared" si="13"/>
        <v>0.10000000000000009</v>
      </c>
      <c r="I98" s="134">
        <f t="shared" si="13"/>
        <v>0.10000000000000009</v>
      </c>
    </row>
    <row r="99" spans="1:9">
      <c r="A99" s="18" t="s">
        <v>85</v>
      </c>
      <c r="B99" s="129">
        <f>IFERROR((#REF!/#REF!)-1,0)</f>
        <v>0</v>
      </c>
      <c r="C99" s="130">
        <f>IFERROR((B24/#REF!)-1,0)</f>
        <v>0</v>
      </c>
      <c r="D99" s="131">
        <f>IFERROR((C24/B24)-1,0)</f>
        <v>-1</v>
      </c>
      <c r="E99" s="132">
        <f>IFERROR((E24/C24)-1,0)</f>
        <v>0</v>
      </c>
      <c r="F99" s="133">
        <f t="shared" ref="F99:I99" si="14">IFERROR((F24/E24)-1,0)</f>
        <v>0</v>
      </c>
      <c r="G99" s="133">
        <f t="shared" si="14"/>
        <v>0</v>
      </c>
      <c r="H99" s="133">
        <f t="shared" si="14"/>
        <v>0</v>
      </c>
      <c r="I99" s="134">
        <f t="shared" si="14"/>
        <v>0</v>
      </c>
    </row>
    <row r="100" spans="1:9">
      <c r="A100" s="18" t="s">
        <v>86</v>
      </c>
      <c r="B100" s="129">
        <f>IFERROR((#REF!/#REF!)-1,0)</f>
        <v>0</v>
      </c>
      <c r="C100" s="130">
        <f>IFERROR((B17/#REF!)-1,0)</f>
        <v>0</v>
      </c>
      <c r="D100" s="131">
        <f>IFERROR((C17/B17)-1,0)</f>
        <v>-0.23067198497437136</v>
      </c>
      <c r="E100" s="132">
        <f>IFERROR((E17/C17)-1,0)</f>
        <v>2.7608364543245889E-2</v>
      </c>
      <c r="F100" s="133">
        <f t="shared" ref="F100:I100" si="15">IFERROR((F17/E17)-1,0)</f>
        <v>0.10000000000000009</v>
      </c>
      <c r="G100" s="133">
        <f t="shared" si="15"/>
        <v>8.9673529732827717E-2</v>
      </c>
      <c r="H100" s="133">
        <f t="shared" si="15"/>
        <v>9.0239035743306273E-2</v>
      </c>
      <c r="I100" s="134">
        <f t="shared" si="15"/>
        <v>9.0778358823356609E-2</v>
      </c>
    </row>
    <row r="101" spans="1:9">
      <c r="A101" s="18" t="s">
        <v>87</v>
      </c>
      <c r="B101" s="129">
        <f>IFERROR((#REF!/#REF!)-1,0)</f>
        <v>0</v>
      </c>
      <c r="C101" s="130">
        <f>IFERROR((B44/#REF!)-1,0)</f>
        <v>0</v>
      </c>
      <c r="D101" s="131">
        <f>IFERROR((C44/B44)-1,0)</f>
        <v>0</v>
      </c>
      <c r="E101" s="132">
        <f>IFERROR((E44/C44)-1,0)</f>
        <v>1.080573896363648</v>
      </c>
      <c r="F101" s="133">
        <f t="shared" ref="F101:I101" si="16">IFERROR((F44/E44)-1,0)</f>
        <v>-0.24753681847543518</v>
      </c>
      <c r="G101" s="133">
        <f t="shared" si="16"/>
        <v>-0.1484869616202662</v>
      </c>
      <c r="H101" s="133">
        <f t="shared" si="16"/>
        <v>0</v>
      </c>
      <c r="I101" s="134">
        <f t="shared" si="16"/>
        <v>0</v>
      </c>
    </row>
    <row r="102" spans="1:9" ht="12" thickBot="1">
      <c r="A102" s="135" t="s">
        <v>88</v>
      </c>
      <c r="B102" s="136">
        <f>IFERROR(#REF!/(#REF!+SUM(#REF!)/365),0)</f>
        <v>0</v>
      </c>
      <c r="C102" s="137">
        <f>IFERROR(B51/(B28+SUM(B40:B41)/365),0)</f>
        <v>3.0506501967377187E-4</v>
      </c>
      <c r="D102" s="138">
        <f>IFERROR(C51/(C28+SUM(C40:C41)/365),0)</f>
        <v>9.7128707381047272E-2</v>
      </c>
      <c r="E102" s="139">
        <f t="shared" ref="E102:I102" si="17">IFERROR(E51/(E28+SUM(E40:E41)/365),0)</f>
        <v>0.25331580257940767</v>
      </c>
      <c r="F102" s="140">
        <f t="shared" si="17"/>
        <v>0.28135965123024226</v>
      </c>
      <c r="G102" s="140">
        <f t="shared" si="17"/>
        <v>0.309027373683393</v>
      </c>
      <c r="H102" s="140">
        <f t="shared" si="17"/>
        <v>0.31348889816395753</v>
      </c>
      <c r="I102" s="141">
        <f t="shared" si="17"/>
        <v>0.35264568235750726</v>
      </c>
    </row>
    <row r="103" spans="1:9">
      <c r="I103" s="26"/>
    </row>
    <row r="104" spans="1:9" ht="12" thickBot="1">
      <c r="A104" s="142" t="s">
        <v>89</v>
      </c>
      <c r="I104" s="26"/>
    </row>
    <row r="105" spans="1:9">
      <c r="A105" s="143"/>
      <c r="B105" s="211" t="s">
        <v>90</v>
      </c>
      <c r="C105" s="212"/>
      <c r="D105" s="212"/>
      <c r="E105" s="212"/>
      <c r="F105" s="212"/>
      <c r="G105" s="213"/>
      <c r="H105" s="144"/>
      <c r="I105" s="144"/>
    </row>
    <row r="106" spans="1:9" ht="12" thickBot="1">
      <c r="A106" s="143"/>
      <c r="B106" s="214"/>
      <c r="C106" s="215"/>
      <c r="D106" s="215"/>
      <c r="E106" s="215"/>
      <c r="F106" s="215"/>
      <c r="G106" s="216"/>
      <c r="H106" s="144"/>
      <c r="I106" s="144"/>
    </row>
    <row r="107" spans="1:9" ht="29.1">
      <c r="A107" s="143"/>
      <c r="B107" s="145" t="s">
        <v>91</v>
      </c>
      <c r="C107" s="146" t="s">
        <v>92</v>
      </c>
      <c r="D107" s="146" t="s">
        <v>93</v>
      </c>
      <c r="E107" s="146" t="s">
        <v>94</v>
      </c>
      <c r="F107" s="147" t="s">
        <v>95</v>
      </c>
      <c r="G107" s="148" t="s">
        <v>96</v>
      </c>
      <c r="H107" s="149"/>
      <c r="I107" s="149"/>
    </row>
    <row r="108" spans="1:9" ht="14.45">
      <c r="A108" s="143"/>
      <c r="B108" s="150" t="s">
        <v>97</v>
      </c>
      <c r="C108" s="151">
        <v>0</v>
      </c>
      <c r="D108" s="151">
        <v>0</v>
      </c>
      <c r="E108" s="151">
        <v>0</v>
      </c>
      <c r="F108" s="151">
        <v>0</v>
      </c>
      <c r="G108" s="152"/>
      <c r="H108" s="153"/>
      <c r="I108" s="154"/>
    </row>
    <row r="109" spans="1:9" ht="14.45">
      <c r="A109" s="143"/>
      <c r="B109" s="155" t="s">
        <v>98</v>
      </c>
      <c r="C109" s="156"/>
      <c r="D109" s="156"/>
      <c r="E109" s="156"/>
      <c r="F109" s="157"/>
      <c r="G109" s="158"/>
      <c r="H109" s="153"/>
      <c r="I109" s="154"/>
    </row>
    <row r="110" spans="1:9" ht="14.45">
      <c r="A110" s="143"/>
      <c r="B110" s="150" t="s">
        <v>99</v>
      </c>
      <c r="C110" s="159">
        <v>55439</v>
      </c>
      <c r="D110" s="159">
        <f>-2417*12</f>
        <v>-29004</v>
      </c>
      <c r="E110" s="159">
        <f>-C110*0.06</f>
        <v>-3326.3399999999997</v>
      </c>
      <c r="F110" s="157">
        <f>+C110+D110+E110</f>
        <v>23108.66</v>
      </c>
      <c r="G110" s="152" t="s">
        <v>100</v>
      </c>
      <c r="H110" s="198"/>
      <c r="I110" s="199"/>
    </row>
    <row r="111" spans="1:9" ht="14.45">
      <c r="A111" s="143"/>
      <c r="B111" s="155"/>
      <c r="C111" s="156"/>
      <c r="D111" s="156"/>
      <c r="E111" s="156">
        <v>0</v>
      </c>
      <c r="F111" s="157">
        <v>0</v>
      </c>
      <c r="G111" s="160"/>
      <c r="H111" s="198"/>
      <c r="I111" s="199"/>
    </row>
    <row r="112" spans="1:9" ht="14.45">
      <c r="A112" s="143"/>
      <c r="B112" s="150" t="s">
        <v>101</v>
      </c>
      <c r="C112" s="159">
        <v>0</v>
      </c>
      <c r="D112" s="159">
        <v>0</v>
      </c>
      <c r="E112" s="159">
        <v>0</v>
      </c>
      <c r="F112" s="151">
        <v>0</v>
      </c>
      <c r="G112" s="152"/>
      <c r="H112" s="198"/>
      <c r="I112" s="199"/>
    </row>
    <row r="113" spans="1:17" ht="14.45">
      <c r="A113" s="143"/>
      <c r="B113" s="155" t="s">
        <v>102</v>
      </c>
      <c r="C113" s="156"/>
      <c r="D113" s="156"/>
      <c r="E113" s="156"/>
      <c r="F113" s="157">
        <f>+C113+D113+E113</f>
        <v>0</v>
      </c>
      <c r="G113" s="160"/>
      <c r="H113" s="198"/>
      <c r="I113" s="199"/>
      <c r="Q113" s="4" t="s">
        <v>103</v>
      </c>
    </row>
    <row r="114" spans="1:17" ht="44.1" thickBot="1">
      <c r="A114" s="143"/>
      <c r="B114" s="161" t="s">
        <v>104</v>
      </c>
      <c r="C114" s="162">
        <v>296730</v>
      </c>
      <c r="D114" s="162">
        <v>0</v>
      </c>
      <c r="E114" s="162">
        <v>0</v>
      </c>
      <c r="F114" s="163">
        <f>+C114</f>
        <v>296730</v>
      </c>
      <c r="G114" s="164" t="s">
        <v>105</v>
      </c>
      <c r="H114" s="198"/>
      <c r="I114" s="199"/>
    </row>
    <row r="115" spans="1:17" ht="15" thickBot="1">
      <c r="A115" s="143"/>
      <c r="B115" s="165"/>
      <c r="C115" s="166"/>
      <c r="D115" s="166"/>
      <c r="E115" s="166"/>
      <c r="F115" s="167"/>
      <c r="G115" s="168"/>
      <c r="H115" s="26"/>
      <c r="I115" s="26"/>
    </row>
    <row r="116" spans="1:17" ht="15" thickBot="1">
      <c r="A116" s="143"/>
      <c r="B116" s="169" t="s">
        <v>80</v>
      </c>
      <c r="C116" s="170">
        <f>SUM(C108:C114)</f>
        <v>352169</v>
      </c>
      <c r="D116" s="170">
        <f>SUM(D108:D114)</f>
        <v>-29004</v>
      </c>
      <c r="E116" s="170">
        <f>SUM(E108:E114)</f>
        <v>-3326.3399999999997</v>
      </c>
      <c r="F116" s="171">
        <f>SUM(F108:F114)</f>
        <v>319838.65999999997</v>
      </c>
      <c r="G116" s="168"/>
      <c r="H116" s="26"/>
      <c r="I116" s="26"/>
    </row>
    <row r="117" spans="1:17">
      <c r="A117" s="143"/>
      <c r="E117" s="26"/>
      <c r="F117" s="26"/>
      <c r="G117" s="26"/>
      <c r="H117" s="26"/>
      <c r="I117" s="26"/>
    </row>
    <row r="118" spans="1:17">
      <c r="A118" s="172" t="s">
        <v>89</v>
      </c>
      <c r="E118" s="26"/>
      <c r="F118" s="26"/>
      <c r="G118" s="26"/>
      <c r="H118" s="26"/>
      <c r="I118" s="26"/>
    </row>
    <row r="119" spans="1:17">
      <c r="A119" s="143" t="s">
        <v>106</v>
      </c>
      <c r="B119" s="4" t="s">
        <v>107</v>
      </c>
    </row>
    <row r="120" spans="1:17" ht="46.5" customHeight="1">
      <c r="A120" s="196" t="s">
        <v>108</v>
      </c>
      <c r="B120" s="195" t="s">
        <v>109</v>
      </c>
      <c r="C120" s="195"/>
      <c r="D120" s="195"/>
      <c r="E120" s="195"/>
      <c r="F120" s="195"/>
      <c r="G120" s="195"/>
      <c r="H120" s="195"/>
      <c r="I120" s="195"/>
    </row>
    <row r="121" spans="1:17" ht="41.45" customHeight="1">
      <c r="A121" s="196"/>
      <c r="B121" s="195" t="s">
        <v>110</v>
      </c>
      <c r="C121" s="195"/>
      <c r="D121" s="195"/>
      <c r="E121" s="195"/>
      <c r="F121" s="195"/>
      <c r="G121" s="195"/>
      <c r="H121" s="195"/>
      <c r="I121" s="195"/>
    </row>
    <row r="122" spans="1:17">
      <c r="A122" s="143" t="s">
        <v>111</v>
      </c>
      <c r="B122" s="4" t="s">
        <v>112</v>
      </c>
      <c r="F122" s="26"/>
      <c r="G122" s="26"/>
      <c r="H122" s="26"/>
      <c r="I122" s="26"/>
    </row>
    <row r="123" spans="1:17">
      <c r="A123" s="143" t="s">
        <v>113</v>
      </c>
      <c r="B123" s="4" t="s">
        <v>114</v>
      </c>
      <c r="F123" s="26"/>
      <c r="G123" s="26"/>
      <c r="H123" s="26"/>
      <c r="I123" s="26"/>
    </row>
    <row r="124" spans="1:17">
      <c r="A124" s="143"/>
      <c r="F124" s="26"/>
      <c r="G124" s="26"/>
      <c r="H124" s="26"/>
      <c r="I124" s="26"/>
    </row>
    <row r="125" spans="1:17">
      <c r="A125" s="143" t="s">
        <v>115</v>
      </c>
      <c r="B125" s="4" t="s">
        <v>116</v>
      </c>
      <c r="F125" s="26"/>
      <c r="G125" s="26"/>
      <c r="H125" s="26"/>
      <c r="I125" s="26"/>
    </row>
    <row r="126" spans="1:17">
      <c r="A126" s="143" t="s">
        <v>117</v>
      </c>
      <c r="B126" s="4" t="s">
        <v>118</v>
      </c>
      <c r="F126" s="26"/>
      <c r="G126" s="26"/>
      <c r="H126" s="26"/>
      <c r="I126" s="26"/>
    </row>
    <row r="127" spans="1:17" ht="50.1" customHeight="1">
      <c r="A127" s="143" t="s">
        <v>119</v>
      </c>
      <c r="B127" s="197" t="s">
        <v>120</v>
      </c>
      <c r="C127" s="197"/>
      <c r="D127" s="197"/>
      <c r="E127" s="197"/>
      <c r="F127" s="197"/>
      <c r="G127" s="197"/>
      <c r="H127" s="197"/>
      <c r="I127" s="197"/>
    </row>
    <row r="128" spans="1:17" ht="35.1" customHeight="1">
      <c r="A128" s="143" t="s">
        <v>121</v>
      </c>
      <c r="B128" s="195" t="s">
        <v>122</v>
      </c>
      <c r="C128" s="195"/>
      <c r="D128" s="195"/>
      <c r="E128" s="195"/>
      <c r="F128" s="195"/>
      <c r="G128" s="195"/>
      <c r="H128" s="195"/>
      <c r="I128" s="195"/>
    </row>
    <row r="129" spans="1:9">
      <c r="A129" s="143" t="s">
        <v>123</v>
      </c>
      <c r="B129" s="195" t="s">
        <v>124</v>
      </c>
      <c r="C129" s="195"/>
      <c r="D129" s="195"/>
      <c r="E129" s="195"/>
      <c r="F129" s="195"/>
      <c r="G129" s="195"/>
      <c r="H129" s="195"/>
      <c r="I129" s="195"/>
    </row>
    <row r="130" spans="1:9">
      <c r="A130" s="143" t="s">
        <v>125</v>
      </c>
      <c r="B130" s="195" t="s">
        <v>126</v>
      </c>
      <c r="C130" s="195"/>
      <c r="D130" s="195"/>
      <c r="E130" s="195"/>
      <c r="F130" s="195"/>
      <c r="G130" s="195"/>
      <c r="H130" s="195"/>
      <c r="I130" s="195"/>
    </row>
    <row r="131" spans="1:9">
      <c r="B131" s="4" t="s">
        <v>127</v>
      </c>
      <c r="E131" s="26"/>
      <c r="F131" s="26"/>
      <c r="G131" s="26"/>
      <c r="H131" s="26"/>
      <c r="I131" s="26"/>
    </row>
    <row r="132" spans="1:9">
      <c r="B132" s="4" t="s">
        <v>128</v>
      </c>
      <c r="E132" s="26"/>
      <c r="F132" s="26"/>
      <c r="G132" s="26"/>
      <c r="H132" s="26"/>
      <c r="I132" s="26"/>
    </row>
    <row r="133" spans="1:9">
      <c r="E133" s="26"/>
      <c r="F133" s="26"/>
      <c r="G133" s="26"/>
      <c r="H133" s="26"/>
      <c r="I133" s="26"/>
    </row>
    <row r="134" spans="1:9">
      <c r="A134" s="143" t="s">
        <v>129</v>
      </c>
      <c r="B134" s="174" t="s">
        <v>130</v>
      </c>
      <c r="C134" s="173"/>
      <c r="D134" s="173"/>
      <c r="E134" s="173"/>
      <c r="F134" s="173"/>
      <c r="G134" s="173"/>
      <c r="H134" s="173"/>
      <c r="I134" s="173"/>
    </row>
    <row r="135" spans="1:9">
      <c r="A135" s="143"/>
      <c r="B135" s="174"/>
      <c r="C135" s="173"/>
      <c r="D135" s="173"/>
      <c r="E135" s="173"/>
      <c r="F135" s="173"/>
      <c r="G135" s="173"/>
      <c r="H135" s="173"/>
      <c r="I135" s="173"/>
    </row>
    <row r="136" spans="1:9">
      <c r="C136" s="6"/>
      <c r="D136" s="6"/>
      <c r="E136" s="6"/>
      <c r="F136" s="175"/>
      <c r="G136" s="175"/>
      <c r="H136" s="175"/>
      <c r="I136" s="175"/>
    </row>
    <row r="137" spans="1:9">
      <c r="A137" s="4" t="s">
        <v>131</v>
      </c>
      <c r="E137" s="26"/>
      <c r="F137" s="26"/>
      <c r="G137" s="26"/>
      <c r="H137" s="26"/>
      <c r="I137" s="26"/>
    </row>
    <row r="138" spans="1:9">
      <c r="A138" s="4" t="s">
        <v>132</v>
      </c>
      <c r="B138" s="176">
        <f>+E28/E68</f>
        <v>20579.654097222225</v>
      </c>
      <c r="E138" s="26"/>
      <c r="F138" s="26"/>
      <c r="G138" s="26"/>
      <c r="H138" s="26"/>
      <c r="I138" s="26"/>
    </row>
    <row r="139" spans="1:9">
      <c r="A139" s="4" t="s">
        <v>133</v>
      </c>
      <c r="B139" s="176">
        <f>+F28/F68</f>
        <v>16857.946982070709</v>
      </c>
      <c r="E139" s="26"/>
      <c r="F139" s="26"/>
      <c r="G139" s="26"/>
      <c r="H139" s="26"/>
      <c r="I139" s="26"/>
    </row>
    <row r="140" spans="1:9">
      <c r="A140" s="4" t="s">
        <v>134</v>
      </c>
      <c r="B140" s="176">
        <f>+G28/G68</f>
        <v>15569.710760406339</v>
      </c>
      <c r="E140" s="26"/>
      <c r="F140" s="26"/>
      <c r="G140" s="26"/>
      <c r="H140" s="26"/>
      <c r="I140" s="26"/>
    </row>
    <row r="141" spans="1:9">
      <c r="A141" s="4" t="s">
        <v>135</v>
      </c>
      <c r="B141" s="176">
        <f>+H28/H68</f>
        <v>14489.938762479316</v>
      </c>
      <c r="E141" s="26"/>
      <c r="F141" s="26"/>
      <c r="G141" s="26"/>
      <c r="H141" s="26"/>
      <c r="I141" s="26"/>
    </row>
    <row r="142" spans="1:9">
      <c r="A142" s="4" t="s">
        <v>136</v>
      </c>
      <c r="B142" s="176">
        <f>+I28/I68</f>
        <v>13484.712308481201</v>
      </c>
      <c r="E142" s="26"/>
      <c r="F142" s="26"/>
      <c r="G142" s="26"/>
      <c r="H142" s="26"/>
      <c r="I142" s="26"/>
    </row>
    <row r="143" spans="1:9">
      <c r="E143" s="26"/>
      <c r="F143" s="26"/>
      <c r="G143" s="26"/>
      <c r="H143" s="26"/>
      <c r="I143" s="26"/>
    </row>
    <row r="144" spans="1:9">
      <c r="E144" s="26"/>
      <c r="F144" s="26"/>
      <c r="G144" s="26"/>
      <c r="H144" s="26"/>
      <c r="I144" s="26"/>
    </row>
    <row r="145" spans="5:9">
      <c r="E145" s="26"/>
      <c r="F145" s="26"/>
      <c r="G145" s="26"/>
      <c r="H145" s="26"/>
      <c r="I145" s="26"/>
    </row>
    <row r="150" spans="5:9">
      <c r="E150" s="26"/>
      <c r="F150" s="26"/>
      <c r="G150" s="26"/>
      <c r="H150" s="26"/>
      <c r="I150" s="26"/>
    </row>
    <row r="151" spans="5:9">
      <c r="E151" s="26"/>
      <c r="F151" s="26"/>
      <c r="G151" s="26"/>
      <c r="H151" s="26"/>
      <c r="I151" s="26"/>
    </row>
    <row r="152" spans="5:9">
      <c r="E152" s="26"/>
      <c r="F152" s="26"/>
      <c r="G152" s="26"/>
      <c r="H152" s="26"/>
      <c r="I152" s="26"/>
    </row>
    <row r="153" spans="5:9">
      <c r="E153" s="26"/>
      <c r="F153" s="26"/>
      <c r="G153" s="26"/>
      <c r="H153" s="26"/>
      <c r="I153" s="26"/>
    </row>
    <row r="154" spans="5:9">
      <c r="E154" s="26"/>
      <c r="F154" s="26"/>
      <c r="G154" s="26"/>
      <c r="H154" s="26"/>
      <c r="I154" s="26"/>
    </row>
    <row r="155" spans="5:9">
      <c r="E155" s="26"/>
      <c r="F155" s="26"/>
      <c r="G155" s="26"/>
      <c r="H155" s="26"/>
      <c r="I155" s="26"/>
    </row>
    <row r="156" spans="5:9">
      <c r="E156" s="26"/>
      <c r="F156" s="26"/>
      <c r="G156" s="26"/>
      <c r="H156" s="26"/>
      <c r="I156" s="26"/>
    </row>
    <row r="157" spans="5:9">
      <c r="E157" s="26"/>
      <c r="F157" s="26"/>
      <c r="G157" s="26"/>
      <c r="H157" s="26"/>
      <c r="I157" s="26"/>
    </row>
    <row r="158" spans="5:9">
      <c r="E158" s="26"/>
      <c r="F158" s="26"/>
      <c r="G158" s="26"/>
      <c r="H158" s="26"/>
      <c r="I158" s="26"/>
    </row>
    <row r="159" spans="5:9">
      <c r="E159" s="26"/>
      <c r="F159" s="26"/>
      <c r="G159" s="26"/>
      <c r="H159" s="26"/>
      <c r="I159" s="26"/>
    </row>
    <row r="160" spans="5:9">
      <c r="E160" s="26"/>
      <c r="F160" s="26"/>
      <c r="G160" s="26"/>
      <c r="H160" s="26"/>
      <c r="I160" s="26"/>
    </row>
    <row r="161" spans="5:9">
      <c r="E161" s="26"/>
      <c r="F161" s="26"/>
      <c r="G161" s="26"/>
      <c r="H161" s="26"/>
      <c r="I161" s="26"/>
    </row>
    <row r="162" spans="5:9">
      <c r="E162" s="26"/>
      <c r="F162" s="26"/>
      <c r="G162" s="26"/>
      <c r="H162" s="26"/>
      <c r="I162" s="26"/>
    </row>
    <row r="163" spans="5:9">
      <c r="E163" s="26"/>
      <c r="F163" s="26"/>
      <c r="G163" s="26"/>
      <c r="H163" s="26"/>
      <c r="I163" s="26"/>
    </row>
    <row r="164" spans="5:9">
      <c r="E164" s="26"/>
      <c r="F164" s="26"/>
      <c r="G164" s="26"/>
      <c r="H164" s="26"/>
      <c r="I164" s="26"/>
    </row>
    <row r="165" spans="5:9">
      <c r="E165" s="26"/>
      <c r="F165" s="26"/>
      <c r="G165" s="26"/>
      <c r="H165" s="26"/>
      <c r="I165" s="26"/>
    </row>
    <row r="166" spans="5:9">
      <c r="E166" s="26"/>
      <c r="F166" s="26"/>
      <c r="G166" s="26"/>
      <c r="H166" s="26"/>
      <c r="I166" s="26"/>
    </row>
    <row r="167" spans="5:9">
      <c r="E167" s="26"/>
      <c r="F167" s="26"/>
      <c r="G167" s="26"/>
      <c r="H167" s="26"/>
      <c r="I167" s="26"/>
    </row>
    <row r="168" spans="5:9">
      <c r="E168" s="26"/>
      <c r="F168" s="26"/>
      <c r="G168" s="26"/>
      <c r="H168" s="26"/>
      <c r="I168" s="26"/>
    </row>
    <row r="169" spans="5:9">
      <c r="E169" s="26"/>
      <c r="F169" s="26"/>
      <c r="G169" s="26"/>
      <c r="H169" s="26"/>
      <c r="I169" s="26"/>
    </row>
    <row r="170" spans="5:9">
      <c r="E170" s="26"/>
      <c r="F170" s="26"/>
      <c r="G170" s="26"/>
      <c r="H170" s="26"/>
      <c r="I170" s="26"/>
    </row>
    <row r="171" spans="5:9">
      <c r="E171" s="26"/>
      <c r="F171" s="26"/>
      <c r="G171" s="26"/>
      <c r="H171" s="26"/>
      <c r="I171" s="26"/>
    </row>
    <row r="172" spans="5:9">
      <c r="E172" s="26"/>
      <c r="F172" s="26"/>
      <c r="G172" s="26"/>
      <c r="H172" s="26"/>
      <c r="I172" s="26"/>
    </row>
    <row r="173" spans="5:9">
      <c r="E173" s="26"/>
      <c r="F173" s="26"/>
      <c r="G173" s="26"/>
      <c r="H173" s="26"/>
      <c r="I173" s="26"/>
    </row>
    <row r="174" spans="5:9">
      <c r="E174" s="26"/>
      <c r="F174" s="26"/>
      <c r="G174" s="26"/>
      <c r="H174" s="26"/>
      <c r="I174" s="26"/>
    </row>
    <row r="175" spans="5:9">
      <c r="E175" s="26"/>
      <c r="F175" s="26"/>
      <c r="G175" s="26"/>
      <c r="H175" s="26"/>
      <c r="I175" s="26"/>
    </row>
    <row r="176" spans="5:9">
      <c r="E176" s="26"/>
      <c r="F176" s="26"/>
      <c r="G176" s="26"/>
      <c r="H176" s="26"/>
      <c r="I176" s="26"/>
    </row>
    <row r="177" spans="5:9">
      <c r="E177" s="26"/>
      <c r="F177" s="26"/>
      <c r="G177" s="26"/>
      <c r="H177" s="26"/>
      <c r="I177" s="26"/>
    </row>
    <row r="178" spans="5:9">
      <c r="E178" s="26"/>
      <c r="F178" s="26"/>
      <c r="G178" s="26"/>
      <c r="H178" s="26"/>
      <c r="I178" s="26"/>
    </row>
    <row r="179" spans="5:9">
      <c r="E179" s="26"/>
      <c r="F179" s="26"/>
      <c r="G179" s="26"/>
      <c r="H179" s="26"/>
      <c r="I179" s="26"/>
    </row>
    <row r="180" spans="5:9">
      <c r="E180" s="26"/>
      <c r="F180" s="26"/>
      <c r="G180" s="26"/>
      <c r="H180" s="26"/>
      <c r="I180" s="26"/>
    </row>
    <row r="181" spans="5:9">
      <c r="E181" s="26"/>
      <c r="F181" s="26"/>
      <c r="G181" s="26"/>
      <c r="H181" s="26"/>
      <c r="I181" s="26"/>
    </row>
    <row r="182" spans="5:9">
      <c r="E182" s="26"/>
      <c r="F182" s="26"/>
      <c r="G182" s="26"/>
      <c r="H182" s="26"/>
      <c r="I182" s="26"/>
    </row>
    <row r="183" spans="5:9">
      <c r="E183" s="26"/>
      <c r="F183" s="26"/>
      <c r="G183" s="26"/>
      <c r="H183" s="26"/>
      <c r="I183" s="26"/>
    </row>
    <row r="184" spans="5:9">
      <c r="E184" s="26"/>
      <c r="F184" s="26"/>
      <c r="G184" s="26"/>
      <c r="H184" s="26"/>
      <c r="I184" s="26"/>
    </row>
    <row r="185" spans="5:9">
      <c r="E185" s="26"/>
      <c r="F185" s="26"/>
      <c r="G185" s="26"/>
      <c r="H185" s="26"/>
      <c r="I185" s="26"/>
    </row>
    <row r="186" spans="5:9">
      <c r="E186" s="26"/>
      <c r="F186" s="26"/>
      <c r="G186" s="26"/>
      <c r="H186" s="26"/>
      <c r="I186" s="26"/>
    </row>
    <row r="187" spans="5:9">
      <c r="E187" s="26"/>
      <c r="F187" s="26"/>
      <c r="G187" s="26"/>
      <c r="H187" s="26"/>
      <c r="I187" s="26"/>
    </row>
    <row r="188" spans="5:9">
      <c r="E188" s="26"/>
      <c r="F188" s="26"/>
      <c r="G188" s="26"/>
      <c r="H188" s="26"/>
      <c r="I188" s="26"/>
    </row>
    <row r="189" spans="5:9">
      <c r="E189" s="26"/>
      <c r="F189" s="26"/>
      <c r="G189" s="26"/>
      <c r="H189" s="26"/>
      <c r="I189" s="26"/>
    </row>
    <row r="190" spans="5:9">
      <c r="E190" s="26"/>
      <c r="F190" s="26"/>
      <c r="G190" s="26"/>
      <c r="H190" s="26"/>
      <c r="I190" s="26"/>
    </row>
    <row r="191" spans="5:9">
      <c r="E191" s="26"/>
      <c r="F191" s="26"/>
      <c r="G191" s="26"/>
      <c r="H191" s="26"/>
      <c r="I191" s="26"/>
    </row>
    <row r="192" spans="5:9">
      <c r="E192" s="26"/>
      <c r="F192" s="26"/>
      <c r="G192" s="26"/>
      <c r="H192" s="26"/>
      <c r="I192" s="26"/>
    </row>
    <row r="193" spans="5:9">
      <c r="E193" s="26"/>
      <c r="F193" s="26"/>
      <c r="G193" s="26"/>
      <c r="H193" s="26"/>
      <c r="I193" s="26"/>
    </row>
    <row r="194" spans="5:9">
      <c r="E194" s="26"/>
      <c r="F194" s="26"/>
      <c r="G194" s="26"/>
      <c r="H194" s="26"/>
      <c r="I194" s="26"/>
    </row>
    <row r="195" spans="5:9">
      <c r="E195" s="26"/>
      <c r="F195" s="26"/>
      <c r="G195" s="26"/>
      <c r="H195" s="26"/>
      <c r="I195" s="26"/>
    </row>
    <row r="196" spans="5:9">
      <c r="E196" s="26"/>
      <c r="F196" s="26"/>
      <c r="G196" s="26"/>
      <c r="H196" s="26"/>
      <c r="I196" s="26"/>
    </row>
    <row r="197" spans="5:9">
      <c r="E197" s="26"/>
      <c r="F197" s="26"/>
      <c r="G197" s="26"/>
      <c r="H197" s="26"/>
      <c r="I197" s="26"/>
    </row>
    <row r="198" spans="5:9">
      <c r="E198" s="26"/>
      <c r="F198" s="26"/>
      <c r="G198" s="26"/>
      <c r="H198" s="26"/>
      <c r="I198" s="26"/>
    </row>
    <row r="199" spans="5:9">
      <c r="E199" s="26"/>
      <c r="F199" s="26"/>
      <c r="G199" s="26"/>
      <c r="H199" s="26"/>
      <c r="I199" s="26"/>
    </row>
    <row r="200" spans="5:9">
      <c r="E200" s="26"/>
      <c r="F200" s="26"/>
      <c r="G200" s="26"/>
      <c r="H200" s="26"/>
      <c r="I200" s="26"/>
    </row>
    <row r="201" spans="5:9">
      <c r="E201" s="26"/>
      <c r="F201" s="26"/>
      <c r="G201" s="26"/>
      <c r="H201" s="26"/>
      <c r="I201" s="26"/>
    </row>
    <row r="202" spans="5:9">
      <c r="E202" s="26"/>
      <c r="F202" s="26"/>
      <c r="G202" s="26"/>
      <c r="H202" s="26"/>
      <c r="I202" s="26"/>
    </row>
    <row r="203" spans="5:9">
      <c r="E203" s="26"/>
      <c r="F203" s="26"/>
      <c r="G203" s="26"/>
      <c r="H203" s="26"/>
      <c r="I203" s="26"/>
    </row>
    <row r="204" spans="5:9">
      <c r="E204" s="26"/>
      <c r="F204" s="26"/>
      <c r="G204" s="26"/>
      <c r="H204" s="26"/>
      <c r="I204" s="26"/>
    </row>
    <row r="205" spans="5:9">
      <c r="E205" s="26"/>
      <c r="F205" s="26"/>
      <c r="G205" s="26"/>
      <c r="H205" s="26"/>
      <c r="I205" s="26"/>
    </row>
    <row r="206" spans="5:9">
      <c r="E206" s="26"/>
      <c r="F206" s="26"/>
      <c r="G206" s="26"/>
      <c r="H206" s="26"/>
      <c r="I206" s="26"/>
    </row>
    <row r="207" spans="5:9">
      <c r="E207" s="26"/>
      <c r="F207" s="26"/>
      <c r="G207" s="26"/>
      <c r="H207" s="26"/>
      <c r="I207" s="26"/>
    </row>
    <row r="208" spans="5:9">
      <c r="E208" s="26"/>
      <c r="F208" s="26"/>
      <c r="G208" s="26"/>
      <c r="H208" s="26"/>
      <c r="I208" s="26"/>
    </row>
    <row r="209" spans="5:9">
      <c r="E209" s="26"/>
      <c r="F209" s="26"/>
      <c r="G209" s="26"/>
      <c r="H209" s="26"/>
      <c r="I209" s="26"/>
    </row>
    <row r="210" spans="5:9">
      <c r="E210" s="26"/>
      <c r="F210" s="26"/>
      <c r="G210" s="26"/>
      <c r="H210" s="26"/>
      <c r="I210" s="26"/>
    </row>
    <row r="211" spans="5:9">
      <c r="E211" s="26"/>
      <c r="F211" s="26"/>
      <c r="G211" s="26"/>
      <c r="H211" s="26"/>
      <c r="I211" s="26"/>
    </row>
    <row r="212" spans="5:9">
      <c r="E212" s="26"/>
      <c r="F212" s="26"/>
      <c r="G212" s="26"/>
      <c r="H212" s="26"/>
      <c r="I212" s="26"/>
    </row>
    <row r="213" spans="5:9">
      <c r="E213" s="26"/>
      <c r="F213" s="26"/>
      <c r="G213" s="26"/>
      <c r="H213" s="26"/>
      <c r="I213" s="26"/>
    </row>
    <row r="214" spans="5:9">
      <c r="E214" s="26"/>
      <c r="F214" s="26"/>
      <c r="G214" s="26"/>
      <c r="H214" s="26"/>
      <c r="I214" s="26"/>
    </row>
    <row r="215" spans="5:9">
      <c r="E215" s="26"/>
      <c r="F215" s="26"/>
      <c r="G215" s="26"/>
      <c r="H215" s="26"/>
      <c r="I215" s="26"/>
    </row>
    <row r="216" spans="5:9">
      <c r="E216" s="26"/>
      <c r="F216" s="26"/>
      <c r="G216" s="26"/>
      <c r="H216" s="26"/>
      <c r="I216" s="26"/>
    </row>
    <row r="217" spans="5:9">
      <c r="E217" s="26"/>
      <c r="F217" s="26"/>
      <c r="G217" s="26"/>
      <c r="H217" s="26"/>
      <c r="I217" s="26"/>
    </row>
    <row r="218" spans="5:9">
      <c r="E218" s="26"/>
      <c r="F218" s="26"/>
      <c r="G218" s="26"/>
      <c r="H218" s="26"/>
      <c r="I218" s="26"/>
    </row>
    <row r="219" spans="5:9">
      <c r="E219" s="26"/>
      <c r="F219" s="26"/>
      <c r="G219" s="26"/>
      <c r="H219" s="26"/>
      <c r="I219" s="26"/>
    </row>
    <row r="220" spans="5:9">
      <c r="E220" s="26"/>
      <c r="F220" s="26"/>
      <c r="G220" s="26"/>
      <c r="H220" s="26"/>
      <c r="I220" s="26"/>
    </row>
    <row r="221" spans="5:9">
      <c r="E221" s="26"/>
      <c r="F221" s="26"/>
      <c r="G221" s="26"/>
      <c r="H221" s="26"/>
      <c r="I221" s="26"/>
    </row>
    <row r="222" spans="5:9">
      <c r="E222" s="26"/>
      <c r="F222" s="26"/>
      <c r="G222" s="26"/>
      <c r="H222" s="26"/>
      <c r="I222" s="26"/>
    </row>
    <row r="223" spans="5:9">
      <c r="E223" s="26"/>
      <c r="F223" s="26"/>
      <c r="G223" s="26"/>
      <c r="H223" s="26"/>
      <c r="I223" s="26"/>
    </row>
    <row r="224" spans="5:9">
      <c r="E224" s="26"/>
      <c r="F224" s="26"/>
      <c r="G224" s="26"/>
      <c r="H224" s="26"/>
      <c r="I224" s="26"/>
    </row>
    <row r="225" spans="5:9">
      <c r="E225" s="26"/>
      <c r="F225" s="26"/>
      <c r="G225" s="26"/>
      <c r="H225" s="26"/>
      <c r="I225" s="26"/>
    </row>
    <row r="226" spans="5:9">
      <c r="E226" s="26"/>
      <c r="F226" s="26"/>
      <c r="G226" s="26"/>
      <c r="H226" s="26"/>
      <c r="I226" s="26"/>
    </row>
    <row r="227" spans="5:9">
      <c r="E227" s="26"/>
      <c r="F227" s="26"/>
      <c r="G227" s="26"/>
      <c r="H227" s="26"/>
      <c r="I227" s="26"/>
    </row>
    <row r="228" spans="5:9">
      <c r="E228" s="26"/>
      <c r="F228" s="26"/>
      <c r="G228" s="26"/>
      <c r="H228" s="26"/>
      <c r="I228" s="26"/>
    </row>
    <row r="229" spans="5:9">
      <c r="E229" s="26"/>
      <c r="F229" s="26"/>
      <c r="G229" s="26"/>
      <c r="H229" s="26"/>
      <c r="I229" s="26"/>
    </row>
    <row r="230" spans="5:9">
      <c r="E230" s="26"/>
      <c r="F230" s="26"/>
      <c r="G230" s="26"/>
      <c r="H230" s="26"/>
      <c r="I230" s="26"/>
    </row>
    <row r="231" spans="5:9">
      <c r="E231" s="26"/>
      <c r="F231" s="26"/>
      <c r="G231" s="26"/>
      <c r="H231" s="26"/>
      <c r="I231" s="26"/>
    </row>
    <row r="232" spans="5:9">
      <c r="E232" s="26"/>
      <c r="F232" s="26"/>
      <c r="G232" s="26"/>
      <c r="H232" s="26"/>
      <c r="I232" s="26"/>
    </row>
    <row r="233" spans="5:9">
      <c r="E233" s="26"/>
      <c r="F233" s="26"/>
      <c r="G233" s="26"/>
      <c r="H233" s="26"/>
      <c r="I233" s="26"/>
    </row>
    <row r="234" spans="5:9">
      <c r="E234" s="26"/>
      <c r="F234" s="26"/>
      <c r="G234" s="26"/>
      <c r="H234" s="26"/>
      <c r="I234" s="26"/>
    </row>
    <row r="235" spans="5:9">
      <c r="E235" s="26"/>
      <c r="F235" s="26"/>
      <c r="G235" s="26"/>
      <c r="H235" s="26"/>
      <c r="I235" s="26"/>
    </row>
    <row r="236" spans="5:9">
      <c r="E236" s="26"/>
      <c r="F236" s="26"/>
      <c r="G236" s="26"/>
      <c r="H236" s="26"/>
      <c r="I236" s="26"/>
    </row>
    <row r="237" spans="5:9">
      <c r="E237" s="26"/>
      <c r="F237" s="26"/>
      <c r="G237" s="26"/>
      <c r="H237" s="26"/>
      <c r="I237" s="26"/>
    </row>
    <row r="238" spans="5:9">
      <c r="E238" s="26"/>
      <c r="F238" s="26"/>
      <c r="G238" s="26"/>
      <c r="H238" s="26"/>
      <c r="I238" s="26"/>
    </row>
    <row r="239" spans="5:9">
      <c r="E239" s="26"/>
      <c r="F239" s="26"/>
      <c r="G239" s="26"/>
      <c r="H239" s="26"/>
      <c r="I239" s="26"/>
    </row>
    <row r="240" spans="5:9">
      <c r="E240" s="26"/>
      <c r="F240" s="26"/>
      <c r="G240" s="26"/>
      <c r="H240" s="26"/>
      <c r="I240" s="26"/>
    </row>
    <row r="241" spans="5:9">
      <c r="E241" s="26"/>
      <c r="F241" s="26"/>
      <c r="G241" s="26"/>
      <c r="H241" s="26"/>
      <c r="I241" s="26"/>
    </row>
    <row r="242" spans="5:9">
      <c r="E242" s="26"/>
      <c r="F242" s="26"/>
      <c r="G242" s="26"/>
      <c r="H242" s="26"/>
      <c r="I242" s="26"/>
    </row>
    <row r="243" spans="5:9">
      <c r="E243" s="26"/>
      <c r="F243" s="26"/>
      <c r="G243" s="26"/>
      <c r="H243" s="26"/>
      <c r="I243" s="26"/>
    </row>
    <row r="244" spans="5:9">
      <c r="E244" s="26"/>
      <c r="F244" s="26"/>
      <c r="G244" s="26"/>
      <c r="H244" s="26"/>
      <c r="I244" s="26"/>
    </row>
    <row r="245" spans="5:9">
      <c r="E245" s="26"/>
      <c r="F245" s="26"/>
      <c r="G245" s="26"/>
      <c r="H245" s="26"/>
      <c r="I245" s="26"/>
    </row>
    <row r="246" spans="5:9">
      <c r="E246" s="26"/>
      <c r="F246" s="26"/>
      <c r="G246" s="26"/>
      <c r="H246" s="26"/>
      <c r="I246" s="26"/>
    </row>
    <row r="247" spans="5:9">
      <c r="E247" s="26"/>
      <c r="F247" s="26"/>
      <c r="G247" s="26"/>
      <c r="H247" s="26"/>
      <c r="I247" s="26"/>
    </row>
    <row r="248" spans="5:9">
      <c r="E248" s="26"/>
      <c r="F248" s="26"/>
      <c r="G248" s="26"/>
      <c r="H248" s="26"/>
      <c r="I248" s="26"/>
    </row>
    <row r="249" spans="5:9">
      <c r="E249" s="26"/>
      <c r="F249" s="26"/>
      <c r="G249" s="26"/>
      <c r="H249" s="26"/>
      <c r="I249" s="26"/>
    </row>
    <row r="250" spans="5:9">
      <c r="E250" s="26"/>
      <c r="F250" s="26"/>
      <c r="G250" s="26"/>
      <c r="H250" s="26"/>
      <c r="I250" s="26"/>
    </row>
    <row r="251" spans="5:9">
      <c r="E251" s="26"/>
      <c r="F251" s="26"/>
      <c r="G251" s="26"/>
      <c r="H251" s="26"/>
      <c r="I251" s="26"/>
    </row>
    <row r="252" spans="5:9">
      <c r="E252" s="26"/>
      <c r="F252" s="26"/>
      <c r="G252" s="26"/>
      <c r="H252" s="26"/>
      <c r="I252" s="26"/>
    </row>
    <row r="253" spans="5:9">
      <c r="E253" s="26"/>
      <c r="F253" s="26"/>
      <c r="G253" s="26"/>
      <c r="H253" s="26"/>
      <c r="I253" s="26"/>
    </row>
    <row r="254" spans="5:9">
      <c r="E254" s="26"/>
      <c r="F254" s="26"/>
      <c r="G254" s="26"/>
      <c r="H254" s="26"/>
      <c r="I254" s="26"/>
    </row>
    <row r="255" spans="5:9">
      <c r="E255" s="26"/>
      <c r="F255" s="26"/>
      <c r="G255" s="26"/>
      <c r="H255" s="26"/>
      <c r="I255" s="26"/>
    </row>
    <row r="256" spans="5:9">
      <c r="E256" s="26"/>
      <c r="F256" s="26"/>
      <c r="G256" s="26"/>
      <c r="H256" s="26"/>
      <c r="I256" s="26"/>
    </row>
    <row r="257" spans="5:9">
      <c r="E257" s="26"/>
      <c r="F257" s="26"/>
      <c r="G257" s="26"/>
      <c r="H257" s="26"/>
      <c r="I257" s="26"/>
    </row>
    <row r="258" spans="5:9">
      <c r="E258" s="26"/>
      <c r="F258" s="26"/>
      <c r="G258" s="26"/>
      <c r="H258" s="26"/>
      <c r="I258" s="26"/>
    </row>
    <row r="259" spans="5:9">
      <c r="E259" s="26"/>
      <c r="F259" s="26"/>
      <c r="G259" s="26"/>
      <c r="H259" s="26"/>
      <c r="I259" s="26"/>
    </row>
    <row r="260" spans="5:9">
      <c r="E260" s="26"/>
      <c r="F260" s="26"/>
      <c r="G260" s="26"/>
      <c r="H260" s="26"/>
      <c r="I260" s="26"/>
    </row>
    <row r="261" spans="5:9">
      <c r="E261" s="26"/>
      <c r="F261" s="26"/>
      <c r="G261" s="26"/>
      <c r="H261" s="26"/>
      <c r="I261" s="26"/>
    </row>
    <row r="262" spans="5:9">
      <c r="E262" s="26"/>
      <c r="F262" s="26"/>
      <c r="G262" s="26"/>
      <c r="H262" s="26"/>
      <c r="I262" s="26"/>
    </row>
    <row r="263" spans="5:9">
      <c r="E263" s="26"/>
      <c r="F263" s="26"/>
      <c r="G263" s="26"/>
      <c r="H263" s="26"/>
      <c r="I263" s="26"/>
    </row>
    <row r="264" spans="5:9">
      <c r="E264" s="26"/>
      <c r="F264" s="26"/>
      <c r="G264" s="26"/>
      <c r="H264" s="26"/>
      <c r="I264" s="26"/>
    </row>
    <row r="265" spans="5:9">
      <c r="E265" s="26"/>
      <c r="F265" s="26"/>
      <c r="G265" s="26"/>
      <c r="H265" s="26"/>
      <c r="I265" s="26"/>
    </row>
    <row r="266" spans="5:9">
      <c r="E266" s="26"/>
      <c r="F266" s="26"/>
      <c r="G266" s="26"/>
      <c r="H266" s="26"/>
      <c r="I266" s="26"/>
    </row>
    <row r="267" spans="5:9">
      <c r="E267" s="26"/>
      <c r="F267" s="26"/>
      <c r="G267" s="26"/>
      <c r="H267" s="26"/>
      <c r="I267" s="26"/>
    </row>
    <row r="268" spans="5:9">
      <c r="E268" s="26"/>
      <c r="F268" s="26"/>
      <c r="G268" s="26"/>
      <c r="H268" s="26"/>
      <c r="I268" s="26"/>
    </row>
    <row r="269" spans="5:9">
      <c r="E269" s="26"/>
      <c r="F269" s="26"/>
      <c r="G269" s="26"/>
      <c r="H269" s="26"/>
      <c r="I269" s="26"/>
    </row>
    <row r="270" spans="5:9">
      <c r="E270" s="26"/>
      <c r="F270" s="26"/>
      <c r="G270" s="26"/>
      <c r="H270" s="26"/>
      <c r="I270" s="26"/>
    </row>
    <row r="271" spans="5:9">
      <c r="E271" s="26"/>
      <c r="F271" s="26"/>
      <c r="G271" s="26"/>
      <c r="H271" s="26"/>
      <c r="I271" s="26"/>
    </row>
    <row r="272" spans="5:9">
      <c r="E272" s="26"/>
      <c r="F272" s="26"/>
      <c r="G272" s="26"/>
      <c r="H272" s="26"/>
      <c r="I272" s="26"/>
    </row>
    <row r="273" spans="5:9">
      <c r="E273" s="26"/>
      <c r="F273" s="26"/>
      <c r="G273" s="26"/>
      <c r="H273" s="26"/>
      <c r="I273" s="26"/>
    </row>
    <row r="274" spans="5:9">
      <c r="E274" s="26"/>
      <c r="F274" s="26"/>
      <c r="G274" s="26"/>
      <c r="H274" s="26"/>
      <c r="I274" s="26"/>
    </row>
    <row r="275" spans="5:9">
      <c r="E275" s="26"/>
      <c r="F275" s="26"/>
      <c r="G275" s="26"/>
      <c r="H275" s="26"/>
      <c r="I275" s="26"/>
    </row>
    <row r="276" spans="5:9">
      <c r="E276" s="26"/>
      <c r="F276" s="26"/>
      <c r="G276" s="26"/>
      <c r="H276" s="26"/>
      <c r="I276" s="26"/>
    </row>
    <row r="277" spans="5:9">
      <c r="E277" s="26"/>
      <c r="F277" s="26"/>
      <c r="G277" s="26"/>
      <c r="H277" s="26"/>
      <c r="I277" s="26"/>
    </row>
    <row r="278" spans="5:9">
      <c r="E278" s="26"/>
      <c r="F278" s="26"/>
      <c r="G278" s="26"/>
      <c r="H278" s="26"/>
      <c r="I278" s="26"/>
    </row>
    <row r="279" spans="5:9">
      <c r="E279" s="26"/>
      <c r="F279" s="26"/>
      <c r="G279" s="26"/>
      <c r="H279" s="26"/>
      <c r="I279" s="26"/>
    </row>
    <row r="280" spans="5:9">
      <c r="E280" s="26"/>
      <c r="F280" s="26"/>
      <c r="G280" s="26"/>
      <c r="H280" s="26"/>
      <c r="I280" s="26"/>
    </row>
    <row r="281" spans="5:9">
      <c r="E281" s="26"/>
      <c r="F281" s="26"/>
      <c r="G281" s="26"/>
      <c r="H281" s="26"/>
      <c r="I281" s="26"/>
    </row>
    <row r="282" spans="5:9">
      <c r="E282" s="26"/>
      <c r="F282" s="26"/>
      <c r="G282" s="26"/>
      <c r="H282" s="26"/>
      <c r="I282" s="26"/>
    </row>
    <row r="283" spans="5:9">
      <c r="E283" s="26"/>
      <c r="F283" s="26"/>
      <c r="G283" s="26"/>
      <c r="H283" s="26"/>
      <c r="I283" s="26"/>
    </row>
    <row r="284" spans="5:9">
      <c r="E284" s="26"/>
      <c r="F284" s="26"/>
      <c r="G284" s="26"/>
      <c r="H284" s="26"/>
      <c r="I284" s="26"/>
    </row>
    <row r="285" spans="5:9">
      <c r="E285" s="26"/>
      <c r="F285" s="26"/>
      <c r="G285" s="26"/>
      <c r="H285" s="26"/>
      <c r="I285" s="26"/>
    </row>
    <row r="286" spans="5:9">
      <c r="E286" s="26"/>
      <c r="F286" s="26"/>
      <c r="G286" s="26"/>
      <c r="H286" s="26"/>
      <c r="I286" s="26"/>
    </row>
    <row r="287" spans="5:9">
      <c r="E287" s="26"/>
      <c r="F287" s="26"/>
      <c r="G287" s="26"/>
      <c r="H287" s="26"/>
      <c r="I287" s="26"/>
    </row>
    <row r="288" spans="5:9">
      <c r="E288" s="26"/>
      <c r="F288" s="26"/>
      <c r="G288" s="26"/>
      <c r="H288" s="26"/>
      <c r="I288" s="26"/>
    </row>
    <row r="289" spans="5:9">
      <c r="E289" s="26"/>
      <c r="F289" s="26"/>
      <c r="G289" s="26"/>
      <c r="H289" s="26"/>
      <c r="I289" s="26"/>
    </row>
    <row r="290" spans="5:9">
      <c r="E290" s="26"/>
      <c r="F290" s="26"/>
      <c r="G290" s="26"/>
      <c r="H290" s="26"/>
      <c r="I290" s="26"/>
    </row>
    <row r="291" spans="5:9">
      <c r="E291" s="26"/>
      <c r="F291" s="26"/>
      <c r="G291" s="26"/>
      <c r="H291" s="26"/>
      <c r="I291" s="26"/>
    </row>
    <row r="292" spans="5:9">
      <c r="E292" s="26"/>
      <c r="F292" s="26"/>
      <c r="G292" s="26"/>
      <c r="H292" s="26"/>
      <c r="I292" s="26"/>
    </row>
    <row r="293" spans="5:9">
      <c r="E293" s="26"/>
      <c r="F293" s="26"/>
      <c r="G293" s="26"/>
      <c r="H293" s="26"/>
      <c r="I293" s="26"/>
    </row>
    <row r="294" spans="5:9">
      <c r="E294" s="26"/>
      <c r="F294" s="26"/>
      <c r="G294" s="26"/>
      <c r="H294" s="26"/>
      <c r="I294" s="26"/>
    </row>
    <row r="295" spans="5:9">
      <c r="E295" s="26"/>
      <c r="F295" s="26"/>
      <c r="G295" s="26"/>
      <c r="H295" s="26"/>
      <c r="I295" s="26"/>
    </row>
    <row r="296" spans="5:9">
      <c r="E296" s="26"/>
      <c r="F296" s="26"/>
      <c r="G296" s="26"/>
      <c r="H296" s="26"/>
      <c r="I296" s="26"/>
    </row>
    <row r="297" spans="5:9">
      <c r="E297" s="26"/>
      <c r="F297" s="26"/>
      <c r="G297" s="26"/>
      <c r="H297" s="26"/>
      <c r="I297" s="26"/>
    </row>
    <row r="298" spans="5:9">
      <c r="E298" s="26"/>
      <c r="F298" s="26"/>
      <c r="G298" s="26"/>
      <c r="H298" s="26"/>
      <c r="I298" s="26"/>
    </row>
    <row r="299" spans="5:9">
      <c r="E299" s="26"/>
      <c r="F299" s="26"/>
      <c r="G299" s="26"/>
      <c r="H299" s="26"/>
      <c r="I299" s="26"/>
    </row>
    <row r="300" spans="5:9">
      <c r="E300" s="26"/>
      <c r="F300" s="26"/>
      <c r="G300" s="26"/>
      <c r="H300" s="26"/>
      <c r="I300" s="26"/>
    </row>
    <row r="301" spans="5:9">
      <c r="E301" s="26"/>
      <c r="F301" s="26"/>
      <c r="G301" s="26"/>
      <c r="H301" s="26"/>
      <c r="I301" s="26"/>
    </row>
    <row r="302" spans="5:9">
      <c r="E302" s="26"/>
      <c r="F302" s="26"/>
      <c r="G302" s="26"/>
      <c r="H302" s="26"/>
      <c r="I302" s="26"/>
    </row>
    <row r="303" spans="5:9">
      <c r="E303" s="26"/>
      <c r="F303" s="26"/>
      <c r="G303" s="26"/>
      <c r="H303" s="26"/>
      <c r="I303" s="26"/>
    </row>
    <row r="304" spans="5:9">
      <c r="E304" s="26"/>
      <c r="F304" s="26"/>
      <c r="G304" s="26"/>
      <c r="H304" s="26"/>
      <c r="I304" s="26"/>
    </row>
    <row r="305" spans="5:9">
      <c r="E305" s="26"/>
      <c r="F305" s="26"/>
      <c r="G305" s="26"/>
      <c r="H305" s="26"/>
      <c r="I305" s="26"/>
    </row>
    <row r="306" spans="5:9">
      <c r="E306" s="26"/>
      <c r="F306" s="26"/>
      <c r="G306" s="26"/>
      <c r="H306" s="26"/>
      <c r="I306" s="26"/>
    </row>
    <row r="307" spans="5:9">
      <c r="E307" s="26"/>
      <c r="F307" s="26"/>
      <c r="G307" s="26"/>
      <c r="H307" s="26"/>
      <c r="I307" s="26"/>
    </row>
    <row r="308" spans="5:9">
      <c r="E308" s="26"/>
      <c r="F308" s="26"/>
      <c r="G308" s="26"/>
      <c r="H308" s="26"/>
      <c r="I308" s="26"/>
    </row>
    <row r="309" spans="5:9">
      <c r="E309" s="26"/>
      <c r="F309" s="26"/>
      <c r="G309" s="26"/>
      <c r="H309" s="26"/>
      <c r="I309" s="26"/>
    </row>
    <row r="310" spans="5:9">
      <c r="E310" s="26"/>
      <c r="F310" s="26"/>
      <c r="G310" s="26"/>
      <c r="H310" s="26"/>
      <c r="I310" s="26"/>
    </row>
    <row r="311" spans="5:9">
      <c r="E311" s="26"/>
      <c r="F311" s="26"/>
      <c r="G311" s="26"/>
      <c r="H311" s="26"/>
      <c r="I311" s="26"/>
    </row>
    <row r="312" spans="5:9">
      <c r="E312" s="26"/>
      <c r="F312" s="26"/>
      <c r="G312" s="26"/>
      <c r="H312" s="26"/>
      <c r="I312" s="26"/>
    </row>
    <row r="313" spans="5:9">
      <c r="E313" s="26"/>
      <c r="F313" s="26"/>
      <c r="G313" s="26"/>
      <c r="H313" s="26"/>
      <c r="I313" s="26"/>
    </row>
    <row r="314" spans="5:9">
      <c r="E314" s="26"/>
      <c r="F314" s="26"/>
      <c r="G314" s="26"/>
      <c r="H314" s="26"/>
      <c r="I314" s="26"/>
    </row>
    <row r="315" spans="5:9">
      <c r="E315" s="26"/>
      <c r="F315" s="26"/>
      <c r="G315" s="26"/>
      <c r="H315" s="26"/>
      <c r="I315" s="26"/>
    </row>
    <row r="316" spans="5:9">
      <c r="E316" s="26"/>
      <c r="F316" s="26"/>
      <c r="G316" s="26"/>
      <c r="H316" s="26"/>
      <c r="I316" s="26"/>
    </row>
    <row r="317" spans="5:9">
      <c r="E317" s="26"/>
      <c r="F317" s="26"/>
      <c r="G317" s="26"/>
      <c r="H317" s="26"/>
      <c r="I317" s="26"/>
    </row>
    <row r="318" spans="5:9">
      <c r="E318" s="26"/>
      <c r="F318" s="26"/>
      <c r="G318" s="26"/>
      <c r="H318" s="26"/>
      <c r="I318" s="26"/>
    </row>
    <row r="319" spans="5:9">
      <c r="E319" s="26"/>
      <c r="F319" s="26"/>
      <c r="G319" s="26"/>
      <c r="H319" s="26"/>
      <c r="I319" s="26"/>
    </row>
    <row r="320" spans="5:9">
      <c r="E320" s="26"/>
      <c r="F320" s="26"/>
      <c r="G320" s="26"/>
      <c r="H320" s="26"/>
      <c r="I320" s="26"/>
    </row>
    <row r="321" spans="5:9">
      <c r="E321" s="26"/>
      <c r="F321" s="26"/>
      <c r="G321" s="26"/>
      <c r="H321" s="26"/>
      <c r="I321" s="26"/>
    </row>
    <row r="322" spans="5:9">
      <c r="E322" s="26"/>
      <c r="F322" s="26"/>
      <c r="G322" s="26"/>
      <c r="H322" s="26"/>
      <c r="I322" s="26"/>
    </row>
    <row r="323" spans="5:9">
      <c r="E323" s="26"/>
      <c r="F323" s="26"/>
      <c r="G323" s="26"/>
      <c r="H323" s="26"/>
      <c r="I323" s="26"/>
    </row>
    <row r="324" spans="5:9">
      <c r="E324" s="26"/>
      <c r="F324" s="26"/>
      <c r="G324" s="26"/>
      <c r="H324" s="26"/>
      <c r="I324" s="26"/>
    </row>
    <row r="325" spans="5:9">
      <c r="E325" s="26"/>
      <c r="F325" s="26"/>
      <c r="G325" s="26"/>
      <c r="H325" s="26"/>
      <c r="I325" s="26"/>
    </row>
    <row r="326" spans="5:9">
      <c r="E326" s="26"/>
      <c r="F326" s="26"/>
      <c r="G326" s="26"/>
      <c r="H326" s="26"/>
      <c r="I326" s="26"/>
    </row>
    <row r="327" spans="5:9">
      <c r="E327" s="26"/>
      <c r="F327" s="26"/>
      <c r="G327" s="26"/>
      <c r="H327" s="26"/>
      <c r="I327" s="26"/>
    </row>
    <row r="328" spans="5:9">
      <c r="E328" s="26"/>
      <c r="F328" s="26"/>
      <c r="G328" s="26"/>
      <c r="H328" s="26"/>
      <c r="I328" s="26"/>
    </row>
    <row r="329" spans="5:9">
      <c r="E329" s="26"/>
      <c r="F329" s="26"/>
      <c r="G329" s="26"/>
      <c r="H329" s="26"/>
      <c r="I329" s="26"/>
    </row>
    <row r="330" spans="5:9">
      <c r="E330" s="26"/>
      <c r="F330" s="26"/>
      <c r="G330" s="26"/>
      <c r="H330" s="26"/>
      <c r="I330" s="26"/>
    </row>
    <row r="331" spans="5:9">
      <c r="E331" s="26"/>
      <c r="F331" s="26"/>
      <c r="G331" s="26"/>
      <c r="H331" s="26"/>
      <c r="I331" s="26"/>
    </row>
    <row r="332" spans="5:9">
      <c r="E332" s="26"/>
      <c r="F332" s="26"/>
      <c r="G332" s="26"/>
      <c r="H332" s="26"/>
      <c r="I332" s="26"/>
    </row>
    <row r="333" spans="5:9">
      <c r="E333" s="26"/>
      <c r="F333" s="26"/>
      <c r="G333" s="26"/>
      <c r="H333" s="26"/>
      <c r="I333" s="26"/>
    </row>
    <row r="334" spans="5:9">
      <c r="E334" s="26"/>
      <c r="F334" s="26"/>
      <c r="G334" s="26"/>
      <c r="H334" s="26"/>
      <c r="I334" s="26"/>
    </row>
    <row r="335" spans="5:9">
      <c r="E335" s="26"/>
      <c r="F335" s="26"/>
      <c r="G335" s="26"/>
      <c r="H335" s="26"/>
      <c r="I335" s="26"/>
    </row>
    <row r="336" spans="5:9">
      <c r="E336" s="26"/>
      <c r="F336" s="26"/>
      <c r="G336" s="26"/>
      <c r="H336" s="26"/>
      <c r="I336" s="26"/>
    </row>
    <row r="337" spans="5:9">
      <c r="E337" s="26"/>
      <c r="F337" s="26"/>
      <c r="G337" s="26"/>
      <c r="H337" s="26"/>
      <c r="I337" s="26"/>
    </row>
    <row r="338" spans="5:9">
      <c r="E338" s="26"/>
      <c r="F338" s="26"/>
      <c r="G338" s="26"/>
      <c r="H338" s="26"/>
      <c r="I338" s="26"/>
    </row>
    <row r="339" spans="5:9">
      <c r="E339" s="26"/>
      <c r="F339" s="26"/>
      <c r="G339" s="26"/>
      <c r="H339" s="26"/>
      <c r="I339" s="26"/>
    </row>
    <row r="340" spans="5:9">
      <c r="E340" s="26"/>
      <c r="F340" s="26"/>
      <c r="G340" s="26"/>
      <c r="H340" s="26"/>
      <c r="I340" s="26"/>
    </row>
    <row r="341" spans="5:9">
      <c r="E341" s="26"/>
      <c r="F341" s="26"/>
      <c r="G341" s="26"/>
      <c r="H341" s="26"/>
      <c r="I341" s="26"/>
    </row>
    <row r="342" spans="5:9">
      <c r="E342" s="26"/>
      <c r="F342" s="26"/>
      <c r="G342" s="26"/>
      <c r="H342" s="26"/>
      <c r="I342" s="26"/>
    </row>
    <row r="343" spans="5:9">
      <c r="E343" s="26"/>
      <c r="F343" s="26"/>
      <c r="G343" s="26"/>
      <c r="H343" s="26"/>
      <c r="I343" s="26"/>
    </row>
    <row r="344" spans="5:9">
      <c r="E344" s="26"/>
      <c r="F344" s="26"/>
      <c r="G344" s="26"/>
      <c r="H344" s="26"/>
      <c r="I344" s="26"/>
    </row>
    <row r="345" spans="5:9">
      <c r="E345" s="26"/>
      <c r="F345" s="26"/>
      <c r="G345" s="26"/>
      <c r="H345" s="26"/>
      <c r="I345" s="26"/>
    </row>
    <row r="346" spans="5:9">
      <c r="E346" s="26"/>
      <c r="F346" s="26"/>
      <c r="G346" s="26"/>
      <c r="H346" s="26"/>
      <c r="I346" s="26"/>
    </row>
    <row r="347" spans="5:9">
      <c r="E347" s="26"/>
      <c r="F347" s="26"/>
      <c r="G347" s="26"/>
      <c r="H347" s="26"/>
      <c r="I347" s="26"/>
    </row>
    <row r="348" spans="5:9">
      <c r="E348" s="26"/>
      <c r="F348" s="26"/>
      <c r="G348" s="26"/>
      <c r="H348" s="26"/>
      <c r="I348" s="26"/>
    </row>
    <row r="349" spans="5:9">
      <c r="E349" s="26"/>
      <c r="F349" s="26"/>
      <c r="G349" s="26"/>
      <c r="H349" s="26"/>
      <c r="I349" s="26"/>
    </row>
    <row r="350" spans="5:9">
      <c r="E350" s="26"/>
      <c r="F350" s="26"/>
      <c r="G350" s="26"/>
      <c r="H350" s="26"/>
      <c r="I350" s="26"/>
    </row>
    <row r="351" spans="5:9">
      <c r="E351" s="26"/>
      <c r="F351" s="26"/>
      <c r="G351" s="26"/>
      <c r="H351" s="26"/>
      <c r="I351" s="26"/>
    </row>
    <row r="352" spans="5:9">
      <c r="E352" s="26"/>
      <c r="F352" s="26"/>
      <c r="G352" s="26"/>
      <c r="H352" s="26"/>
      <c r="I352" s="26"/>
    </row>
    <row r="353" spans="5:9">
      <c r="E353" s="26"/>
      <c r="F353" s="26"/>
      <c r="G353" s="26"/>
      <c r="H353" s="26"/>
      <c r="I353" s="26"/>
    </row>
    <row r="354" spans="5:9">
      <c r="E354" s="26"/>
      <c r="F354" s="26"/>
      <c r="G354" s="26"/>
      <c r="H354" s="26"/>
      <c r="I354" s="26"/>
    </row>
    <row r="355" spans="5:9">
      <c r="E355" s="26"/>
      <c r="F355" s="26"/>
      <c r="G355" s="26"/>
      <c r="H355" s="26"/>
      <c r="I355" s="26"/>
    </row>
    <row r="356" spans="5:9">
      <c r="E356" s="26"/>
      <c r="F356" s="26"/>
      <c r="G356" s="26"/>
      <c r="H356" s="26"/>
      <c r="I356" s="26"/>
    </row>
    <row r="357" spans="5:9">
      <c r="E357" s="26"/>
      <c r="F357" s="26"/>
      <c r="G357" s="26"/>
      <c r="H357" s="26"/>
      <c r="I357" s="26"/>
    </row>
    <row r="358" spans="5:9">
      <c r="E358" s="26"/>
      <c r="F358" s="26"/>
      <c r="G358" s="26"/>
      <c r="H358" s="26"/>
      <c r="I358" s="26"/>
    </row>
    <row r="359" spans="5:9">
      <c r="E359" s="26"/>
      <c r="F359" s="26"/>
      <c r="G359" s="26"/>
      <c r="H359" s="26"/>
      <c r="I359" s="26"/>
    </row>
    <row r="360" spans="5:9">
      <c r="E360" s="26"/>
      <c r="F360" s="26"/>
      <c r="G360" s="26"/>
      <c r="H360" s="26"/>
      <c r="I360" s="26"/>
    </row>
    <row r="361" spans="5:9">
      <c r="E361" s="26"/>
      <c r="F361" s="26"/>
      <c r="G361" s="26"/>
      <c r="H361" s="26"/>
      <c r="I361" s="26"/>
    </row>
    <row r="362" spans="5:9">
      <c r="E362" s="26"/>
      <c r="F362" s="26"/>
      <c r="G362" s="26"/>
      <c r="H362" s="26"/>
      <c r="I362" s="26"/>
    </row>
    <row r="363" spans="5:9">
      <c r="E363" s="26"/>
      <c r="F363" s="26"/>
      <c r="G363" s="26"/>
      <c r="H363" s="26"/>
      <c r="I363" s="26"/>
    </row>
    <row r="364" spans="5:9">
      <c r="E364" s="26"/>
      <c r="F364" s="26"/>
      <c r="G364" s="26"/>
      <c r="H364" s="26"/>
      <c r="I364" s="26"/>
    </row>
    <row r="365" spans="5:9">
      <c r="E365" s="26"/>
      <c r="F365" s="26"/>
      <c r="G365" s="26"/>
      <c r="H365" s="26"/>
      <c r="I365" s="26"/>
    </row>
    <row r="366" spans="5:9">
      <c r="E366" s="26"/>
      <c r="F366" s="26"/>
      <c r="G366" s="26"/>
      <c r="H366" s="26"/>
      <c r="I366" s="26"/>
    </row>
    <row r="367" spans="5:9">
      <c r="E367" s="26"/>
      <c r="F367" s="26"/>
      <c r="G367" s="26"/>
      <c r="H367" s="26"/>
      <c r="I367" s="26"/>
    </row>
    <row r="368" spans="5:9">
      <c r="E368" s="26"/>
      <c r="F368" s="26"/>
      <c r="G368" s="26"/>
      <c r="H368" s="26"/>
      <c r="I368" s="26"/>
    </row>
    <row r="369" spans="5:9">
      <c r="E369" s="26"/>
      <c r="F369" s="26"/>
      <c r="G369" s="26"/>
      <c r="H369" s="26"/>
      <c r="I369" s="26"/>
    </row>
    <row r="370" spans="5:9">
      <c r="E370" s="26"/>
      <c r="F370" s="26"/>
      <c r="G370" s="26"/>
      <c r="H370" s="26"/>
      <c r="I370" s="26"/>
    </row>
    <row r="371" spans="5:9">
      <c r="E371" s="26"/>
      <c r="F371" s="26"/>
      <c r="G371" s="26"/>
      <c r="H371" s="26"/>
      <c r="I371" s="26"/>
    </row>
    <row r="372" spans="5:9">
      <c r="E372" s="26"/>
      <c r="F372" s="26"/>
      <c r="G372" s="26"/>
      <c r="H372" s="26"/>
      <c r="I372" s="26"/>
    </row>
    <row r="373" spans="5:9">
      <c r="E373" s="26"/>
      <c r="F373" s="26"/>
      <c r="G373" s="26"/>
      <c r="H373" s="26"/>
      <c r="I373" s="26"/>
    </row>
    <row r="374" spans="5:9">
      <c r="E374" s="26"/>
      <c r="F374" s="26"/>
      <c r="G374" s="26"/>
      <c r="H374" s="26"/>
      <c r="I374" s="26"/>
    </row>
    <row r="375" spans="5:9">
      <c r="E375" s="26"/>
      <c r="F375" s="26"/>
      <c r="G375" s="26"/>
      <c r="H375" s="26"/>
      <c r="I375" s="26"/>
    </row>
    <row r="376" spans="5:9">
      <c r="E376" s="26"/>
      <c r="F376" s="26"/>
      <c r="G376" s="26"/>
      <c r="H376" s="26"/>
      <c r="I376" s="26"/>
    </row>
    <row r="377" spans="5:9">
      <c r="E377" s="26"/>
      <c r="F377" s="26"/>
      <c r="G377" s="26"/>
      <c r="H377" s="26"/>
      <c r="I377" s="26"/>
    </row>
    <row r="378" spans="5:9">
      <c r="E378" s="26"/>
      <c r="F378" s="26"/>
      <c r="G378" s="26"/>
      <c r="H378" s="26"/>
      <c r="I378" s="26"/>
    </row>
    <row r="379" spans="5:9">
      <c r="E379" s="26"/>
      <c r="F379" s="26"/>
      <c r="G379" s="26"/>
      <c r="H379" s="26"/>
      <c r="I379" s="26"/>
    </row>
    <row r="380" spans="5:9">
      <c r="E380" s="26"/>
      <c r="F380" s="26"/>
      <c r="G380" s="26"/>
      <c r="H380" s="26"/>
      <c r="I380" s="26"/>
    </row>
    <row r="381" spans="5:9">
      <c r="E381" s="26"/>
      <c r="F381" s="26"/>
      <c r="G381" s="26"/>
      <c r="H381" s="26"/>
      <c r="I381" s="26"/>
    </row>
    <row r="382" spans="5:9">
      <c r="E382" s="26"/>
      <c r="F382" s="26"/>
      <c r="G382" s="26"/>
      <c r="H382" s="26"/>
      <c r="I382" s="26"/>
    </row>
    <row r="383" spans="5:9">
      <c r="E383" s="26"/>
      <c r="F383" s="26"/>
      <c r="G383" s="26"/>
      <c r="H383" s="26"/>
      <c r="I383" s="26"/>
    </row>
    <row r="384" spans="5:9">
      <c r="E384" s="26"/>
      <c r="F384" s="26"/>
      <c r="G384" s="26"/>
      <c r="H384" s="26"/>
      <c r="I384" s="26"/>
    </row>
    <row r="385" spans="5:9">
      <c r="E385" s="26"/>
      <c r="F385" s="26"/>
      <c r="G385" s="26"/>
      <c r="H385" s="26"/>
      <c r="I385" s="26"/>
    </row>
    <row r="386" spans="5:9">
      <c r="E386" s="26"/>
      <c r="F386" s="26"/>
      <c r="G386" s="26"/>
      <c r="H386" s="26"/>
      <c r="I386" s="26"/>
    </row>
    <row r="387" spans="5:9">
      <c r="E387" s="26"/>
      <c r="F387" s="26"/>
      <c r="G387" s="26"/>
      <c r="H387" s="26"/>
      <c r="I387" s="26"/>
    </row>
    <row r="388" spans="5:9">
      <c r="E388" s="26"/>
      <c r="F388" s="26"/>
      <c r="G388" s="26"/>
      <c r="H388" s="26"/>
      <c r="I388" s="26"/>
    </row>
    <row r="389" spans="5:9">
      <c r="E389" s="26"/>
      <c r="F389" s="26"/>
      <c r="G389" s="26"/>
      <c r="H389" s="26"/>
      <c r="I389" s="26"/>
    </row>
    <row r="390" spans="5:9">
      <c r="E390" s="26"/>
      <c r="F390" s="26"/>
      <c r="G390" s="26"/>
      <c r="H390" s="26"/>
      <c r="I390" s="26"/>
    </row>
    <row r="391" spans="5:9">
      <c r="E391" s="26"/>
      <c r="F391" s="26"/>
      <c r="G391" s="26"/>
      <c r="H391" s="26"/>
      <c r="I391" s="26"/>
    </row>
    <row r="392" spans="5:9">
      <c r="E392" s="26"/>
      <c r="F392" s="26"/>
      <c r="G392" s="26"/>
      <c r="H392" s="26"/>
      <c r="I392" s="26"/>
    </row>
    <row r="393" spans="5:9">
      <c r="E393" s="26"/>
      <c r="F393" s="26"/>
      <c r="G393" s="26"/>
      <c r="H393" s="26"/>
      <c r="I393" s="26"/>
    </row>
    <row r="394" spans="5:9">
      <c r="E394" s="26"/>
      <c r="F394" s="26"/>
      <c r="G394" s="26"/>
      <c r="H394" s="26"/>
      <c r="I394" s="26"/>
    </row>
    <row r="395" spans="5:9">
      <c r="E395" s="26"/>
      <c r="F395" s="26"/>
      <c r="G395" s="26"/>
      <c r="H395" s="26"/>
      <c r="I395" s="26"/>
    </row>
    <row r="396" spans="5:9">
      <c r="E396" s="26"/>
      <c r="F396" s="26"/>
      <c r="G396" s="26"/>
      <c r="H396" s="26"/>
      <c r="I396" s="26"/>
    </row>
    <row r="397" spans="5:9">
      <c r="E397" s="26"/>
      <c r="F397" s="26"/>
      <c r="G397" s="26"/>
      <c r="H397" s="26"/>
      <c r="I397" s="26"/>
    </row>
    <row r="398" spans="5:9">
      <c r="E398" s="26"/>
      <c r="F398" s="26"/>
      <c r="G398" s="26"/>
      <c r="H398" s="26"/>
      <c r="I398" s="26"/>
    </row>
    <row r="399" spans="5:9">
      <c r="E399" s="26"/>
      <c r="F399" s="26"/>
      <c r="G399" s="26"/>
      <c r="H399" s="26"/>
      <c r="I399" s="26"/>
    </row>
    <row r="400" spans="5:9">
      <c r="E400" s="26"/>
      <c r="F400" s="26"/>
      <c r="G400" s="26"/>
      <c r="H400" s="26"/>
      <c r="I400" s="26"/>
    </row>
    <row r="401" spans="5:9">
      <c r="E401" s="26"/>
      <c r="F401" s="26"/>
      <c r="G401" s="26"/>
      <c r="H401" s="26"/>
      <c r="I401" s="26"/>
    </row>
    <row r="402" spans="5:9">
      <c r="E402" s="26"/>
      <c r="F402" s="26"/>
      <c r="G402" s="26"/>
      <c r="H402" s="26"/>
      <c r="I402" s="26"/>
    </row>
    <row r="403" spans="5:9">
      <c r="E403" s="26"/>
      <c r="F403" s="26"/>
      <c r="G403" s="26"/>
      <c r="H403" s="26"/>
      <c r="I403" s="26"/>
    </row>
    <row r="404" spans="5:9">
      <c r="E404" s="26"/>
      <c r="F404" s="26"/>
      <c r="G404" s="26"/>
      <c r="H404" s="26"/>
      <c r="I404" s="26"/>
    </row>
    <row r="405" spans="5:9">
      <c r="E405" s="26"/>
      <c r="F405" s="26"/>
      <c r="G405" s="26"/>
      <c r="H405" s="26"/>
      <c r="I405" s="26"/>
    </row>
    <row r="406" spans="5:9">
      <c r="E406" s="26"/>
      <c r="F406" s="26"/>
      <c r="G406" s="26"/>
      <c r="H406" s="26"/>
      <c r="I406" s="26"/>
    </row>
    <row r="407" spans="5:9">
      <c r="E407" s="26"/>
      <c r="F407" s="26"/>
      <c r="G407" s="26"/>
      <c r="H407" s="26"/>
      <c r="I407" s="26"/>
    </row>
    <row r="408" spans="5:9">
      <c r="E408" s="26"/>
      <c r="F408" s="26"/>
      <c r="G408" s="26"/>
      <c r="H408" s="26"/>
      <c r="I408" s="26"/>
    </row>
    <row r="409" spans="5:9">
      <c r="E409" s="26"/>
      <c r="F409" s="26"/>
      <c r="G409" s="26"/>
      <c r="H409" s="26"/>
      <c r="I409" s="26"/>
    </row>
    <row r="410" spans="5:9">
      <c r="E410" s="26"/>
      <c r="F410" s="26"/>
      <c r="G410" s="26"/>
      <c r="H410" s="26"/>
      <c r="I410" s="26"/>
    </row>
    <row r="411" spans="5:9">
      <c r="E411" s="26"/>
      <c r="F411" s="26"/>
      <c r="G411" s="26"/>
      <c r="H411" s="26"/>
      <c r="I411" s="26"/>
    </row>
    <row r="412" spans="5:9">
      <c r="E412" s="26"/>
      <c r="F412" s="26"/>
      <c r="G412" s="26"/>
      <c r="H412" s="26"/>
      <c r="I412" s="26"/>
    </row>
    <row r="413" spans="5:9">
      <c r="E413" s="26"/>
      <c r="F413" s="26"/>
      <c r="G413" s="26"/>
      <c r="H413" s="26"/>
      <c r="I413" s="26"/>
    </row>
    <row r="414" spans="5:9">
      <c r="E414" s="26"/>
      <c r="F414" s="26"/>
      <c r="G414" s="26"/>
      <c r="H414" s="26"/>
      <c r="I414" s="26"/>
    </row>
    <row r="415" spans="5:9">
      <c r="E415" s="26"/>
      <c r="F415" s="26"/>
      <c r="G415" s="26"/>
      <c r="H415" s="26"/>
      <c r="I415" s="26"/>
    </row>
    <row r="416" spans="5:9">
      <c r="E416" s="26"/>
      <c r="F416" s="26"/>
      <c r="G416" s="26"/>
      <c r="H416" s="26"/>
      <c r="I416" s="26"/>
    </row>
    <row r="417" spans="5:9">
      <c r="E417" s="26"/>
      <c r="F417" s="26"/>
      <c r="G417" s="26"/>
      <c r="H417" s="26"/>
      <c r="I417" s="26"/>
    </row>
    <row r="418" spans="5:9">
      <c r="E418" s="26"/>
      <c r="F418" s="26"/>
      <c r="G418" s="26"/>
      <c r="H418" s="26"/>
      <c r="I418" s="26"/>
    </row>
    <row r="419" spans="5:9">
      <c r="E419" s="26"/>
      <c r="F419" s="26"/>
      <c r="G419" s="26"/>
      <c r="H419" s="26"/>
      <c r="I419" s="26"/>
    </row>
    <row r="420" spans="5:9">
      <c r="E420" s="26"/>
      <c r="F420" s="26"/>
      <c r="G420" s="26"/>
      <c r="H420" s="26"/>
      <c r="I420" s="26"/>
    </row>
    <row r="421" spans="5:9">
      <c r="E421" s="26"/>
      <c r="F421" s="26"/>
      <c r="G421" s="26"/>
      <c r="H421" s="26"/>
      <c r="I421" s="26"/>
    </row>
    <row r="422" spans="5:9">
      <c r="E422" s="26"/>
      <c r="F422" s="26"/>
      <c r="G422" s="26"/>
      <c r="H422" s="26"/>
      <c r="I422" s="26"/>
    </row>
    <row r="423" spans="5:9">
      <c r="E423" s="26"/>
      <c r="F423" s="26"/>
      <c r="G423" s="26"/>
      <c r="H423" s="26"/>
      <c r="I423" s="26"/>
    </row>
    <row r="424" spans="5:9">
      <c r="E424" s="26"/>
      <c r="F424" s="26"/>
      <c r="G424" s="26"/>
      <c r="H424" s="26"/>
      <c r="I424" s="26"/>
    </row>
    <row r="425" spans="5:9">
      <c r="E425" s="26"/>
      <c r="F425" s="26"/>
      <c r="G425" s="26"/>
      <c r="H425" s="26"/>
      <c r="I425" s="26"/>
    </row>
    <row r="426" spans="5:9">
      <c r="E426" s="26"/>
      <c r="F426" s="26"/>
      <c r="G426" s="26"/>
      <c r="H426" s="26"/>
      <c r="I426" s="26"/>
    </row>
    <row r="427" spans="5:9">
      <c r="E427" s="26"/>
      <c r="F427" s="26"/>
      <c r="G427" s="26"/>
      <c r="H427" s="26"/>
      <c r="I427" s="26"/>
    </row>
    <row r="428" spans="5:9">
      <c r="E428" s="26"/>
      <c r="F428" s="26"/>
      <c r="G428" s="26"/>
      <c r="H428" s="26"/>
      <c r="I428" s="26"/>
    </row>
    <row r="429" spans="5:9">
      <c r="E429" s="26"/>
      <c r="F429" s="26"/>
      <c r="G429" s="26"/>
      <c r="H429" s="26"/>
      <c r="I429" s="26"/>
    </row>
    <row r="430" spans="5:9">
      <c r="E430" s="26"/>
      <c r="F430" s="26"/>
      <c r="G430" s="26"/>
      <c r="H430" s="26"/>
      <c r="I430" s="26"/>
    </row>
    <row r="431" spans="5:9">
      <c r="E431" s="26"/>
      <c r="F431" s="26"/>
      <c r="G431" s="26"/>
      <c r="H431" s="26"/>
      <c r="I431" s="26"/>
    </row>
    <row r="432" spans="5:9">
      <c r="E432" s="26"/>
      <c r="F432" s="26"/>
      <c r="G432" s="26"/>
      <c r="H432" s="26"/>
      <c r="I432" s="26"/>
    </row>
    <row r="433" spans="5:9">
      <c r="E433" s="26"/>
      <c r="F433" s="26"/>
      <c r="G433" s="26"/>
      <c r="H433" s="26"/>
      <c r="I433" s="26"/>
    </row>
    <row r="434" spans="5:9">
      <c r="E434" s="26"/>
      <c r="F434" s="26"/>
      <c r="G434" s="26"/>
      <c r="H434" s="26"/>
      <c r="I434" s="26"/>
    </row>
    <row r="435" spans="5:9">
      <c r="E435" s="26"/>
      <c r="F435" s="26"/>
      <c r="G435" s="26"/>
      <c r="H435" s="26"/>
      <c r="I435" s="26"/>
    </row>
    <row r="436" spans="5:9">
      <c r="E436" s="26"/>
      <c r="F436" s="26"/>
      <c r="G436" s="26"/>
      <c r="H436" s="26"/>
      <c r="I436" s="26"/>
    </row>
    <row r="437" spans="5:9">
      <c r="E437" s="26"/>
      <c r="F437" s="26"/>
      <c r="G437" s="26"/>
      <c r="H437" s="26"/>
      <c r="I437" s="26"/>
    </row>
    <row r="438" spans="5:9">
      <c r="E438" s="26"/>
      <c r="F438" s="26"/>
      <c r="G438" s="26"/>
      <c r="H438" s="26"/>
      <c r="I438" s="26"/>
    </row>
    <row r="439" spans="5:9">
      <c r="E439" s="26"/>
      <c r="F439" s="26"/>
      <c r="G439" s="26"/>
      <c r="H439" s="26"/>
      <c r="I439" s="26"/>
    </row>
    <row r="440" spans="5:9">
      <c r="E440" s="26"/>
      <c r="F440" s="26"/>
      <c r="G440" s="26"/>
      <c r="H440" s="26"/>
      <c r="I440" s="26"/>
    </row>
    <row r="441" spans="5:9">
      <c r="E441" s="26"/>
      <c r="F441" s="26"/>
      <c r="G441" s="26"/>
      <c r="H441" s="26"/>
      <c r="I441" s="26"/>
    </row>
    <row r="442" spans="5:9">
      <c r="E442" s="26"/>
      <c r="F442" s="26"/>
      <c r="G442" s="26"/>
      <c r="H442" s="26"/>
      <c r="I442" s="26"/>
    </row>
    <row r="443" spans="5:9">
      <c r="E443" s="26"/>
      <c r="F443" s="26"/>
      <c r="G443" s="26"/>
      <c r="H443" s="26"/>
      <c r="I443" s="26"/>
    </row>
    <row r="444" spans="5:9">
      <c r="E444" s="26"/>
      <c r="F444" s="26"/>
      <c r="G444" s="26"/>
      <c r="H444" s="26"/>
      <c r="I444" s="26"/>
    </row>
    <row r="445" spans="5:9">
      <c r="E445" s="26"/>
      <c r="F445" s="26"/>
      <c r="G445" s="26"/>
      <c r="H445" s="26"/>
      <c r="I445" s="26"/>
    </row>
    <row r="446" spans="5:9">
      <c r="E446" s="26"/>
      <c r="F446" s="26"/>
      <c r="G446" s="26"/>
      <c r="H446" s="26"/>
      <c r="I446" s="26"/>
    </row>
    <row r="447" spans="5:9">
      <c r="E447" s="26"/>
      <c r="F447" s="26"/>
      <c r="G447" s="26"/>
      <c r="H447" s="26"/>
      <c r="I447" s="26"/>
    </row>
    <row r="448" spans="5:9">
      <c r="E448" s="26"/>
      <c r="F448" s="26"/>
      <c r="G448" s="26"/>
      <c r="H448" s="26"/>
      <c r="I448" s="26"/>
    </row>
    <row r="449" spans="5:9">
      <c r="E449" s="26"/>
      <c r="F449" s="26"/>
      <c r="G449" s="26"/>
      <c r="H449" s="26"/>
      <c r="I449" s="26"/>
    </row>
    <row r="450" spans="5:9">
      <c r="E450" s="26"/>
      <c r="F450" s="26"/>
      <c r="G450" s="26"/>
      <c r="H450" s="26"/>
      <c r="I450" s="26"/>
    </row>
    <row r="451" spans="5:9">
      <c r="E451" s="26"/>
      <c r="F451" s="26"/>
      <c r="G451" s="26"/>
      <c r="H451" s="26"/>
      <c r="I451" s="26"/>
    </row>
    <row r="452" spans="5:9">
      <c r="E452" s="26"/>
      <c r="F452" s="26"/>
      <c r="G452" s="26"/>
      <c r="H452" s="26"/>
      <c r="I452" s="26"/>
    </row>
    <row r="453" spans="5:9">
      <c r="E453" s="26"/>
      <c r="F453" s="26"/>
      <c r="G453" s="26"/>
      <c r="H453" s="26"/>
      <c r="I453" s="26"/>
    </row>
    <row r="454" spans="5:9">
      <c r="E454" s="26"/>
      <c r="F454" s="26"/>
      <c r="G454" s="26"/>
      <c r="H454" s="26"/>
      <c r="I454" s="26"/>
    </row>
    <row r="455" spans="5:9">
      <c r="E455" s="26"/>
      <c r="F455" s="26"/>
      <c r="G455" s="26"/>
      <c r="H455" s="26"/>
      <c r="I455" s="26"/>
    </row>
    <row r="456" spans="5:9">
      <c r="E456" s="26"/>
      <c r="F456" s="26"/>
      <c r="G456" s="26"/>
      <c r="H456" s="26"/>
      <c r="I456" s="26"/>
    </row>
    <row r="457" spans="5:9">
      <c r="E457" s="26"/>
      <c r="F457" s="26"/>
      <c r="G457" s="26"/>
      <c r="H457" s="26"/>
      <c r="I457" s="26"/>
    </row>
    <row r="458" spans="5:9">
      <c r="E458" s="26"/>
      <c r="F458" s="26"/>
      <c r="G458" s="26"/>
      <c r="H458" s="26"/>
      <c r="I458" s="26"/>
    </row>
    <row r="459" spans="5:9">
      <c r="E459" s="26"/>
      <c r="F459" s="26"/>
      <c r="G459" s="26"/>
      <c r="H459" s="26"/>
      <c r="I459" s="26"/>
    </row>
    <row r="460" spans="5:9">
      <c r="E460" s="26"/>
      <c r="F460" s="26"/>
      <c r="G460" s="26"/>
      <c r="H460" s="26"/>
      <c r="I460" s="26"/>
    </row>
    <row r="461" spans="5:9">
      <c r="E461" s="26"/>
      <c r="F461" s="26"/>
      <c r="G461" s="26"/>
      <c r="H461" s="26"/>
      <c r="I461" s="26"/>
    </row>
    <row r="462" spans="5:9">
      <c r="E462" s="26"/>
      <c r="F462" s="26"/>
      <c r="G462" s="26"/>
      <c r="H462" s="26"/>
      <c r="I462" s="26"/>
    </row>
    <row r="463" spans="5:9">
      <c r="E463" s="26"/>
      <c r="F463" s="26"/>
      <c r="G463" s="26"/>
      <c r="H463" s="26"/>
      <c r="I463" s="26"/>
    </row>
    <row r="464" spans="5:9">
      <c r="E464" s="26"/>
      <c r="F464" s="26"/>
      <c r="G464" s="26"/>
      <c r="H464" s="26"/>
      <c r="I464" s="26"/>
    </row>
    <row r="465" spans="5:9">
      <c r="E465" s="26"/>
      <c r="F465" s="26"/>
      <c r="G465" s="26"/>
      <c r="H465" s="26"/>
      <c r="I465" s="26"/>
    </row>
    <row r="466" spans="5:9">
      <c r="E466" s="26"/>
      <c r="F466" s="26"/>
      <c r="G466" s="26"/>
      <c r="H466" s="26"/>
      <c r="I466" s="26"/>
    </row>
    <row r="467" spans="5:9">
      <c r="E467" s="26"/>
      <c r="F467" s="26"/>
      <c r="G467" s="26"/>
      <c r="H467" s="26"/>
      <c r="I467" s="26"/>
    </row>
    <row r="468" spans="5:9">
      <c r="E468" s="26"/>
      <c r="F468" s="26"/>
      <c r="G468" s="26"/>
      <c r="H468" s="26"/>
      <c r="I468" s="26"/>
    </row>
    <row r="469" spans="5:9">
      <c r="E469" s="26"/>
      <c r="F469" s="26"/>
      <c r="G469" s="26"/>
      <c r="H469" s="26"/>
      <c r="I469" s="26"/>
    </row>
    <row r="470" spans="5:9">
      <c r="E470" s="26"/>
      <c r="F470" s="26"/>
      <c r="G470" s="26"/>
      <c r="H470" s="26"/>
      <c r="I470" s="26"/>
    </row>
    <row r="471" spans="5:9">
      <c r="E471" s="26"/>
      <c r="F471" s="26"/>
      <c r="G471" s="26"/>
      <c r="H471" s="26"/>
      <c r="I471" s="26"/>
    </row>
    <row r="472" spans="5:9">
      <c r="E472" s="26"/>
      <c r="F472" s="26"/>
      <c r="G472" s="26"/>
      <c r="H472" s="26"/>
      <c r="I472" s="26"/>
    </row>
    <row r="473" spans="5:9">
      <c r="E473" s="26"/>
      <c r="F473" s="26"/>
      <c r="G473" s="26"/>
      <c r="H473" s="26"/>
      <c r="I473" s="26"/>
    </row>
    <row r="474" spans="5:9">
      <c r="E474" s="26"/>
      <c r="F474" s="26"/>
      <c r="G474" s="26"/>
      <c r="H474" s="26"/>
      <c r="I474" s="26"/>
    </row>
    <row r="475" spans="5:9">
      <c r="E475" s="26"/>
      <c r="F475" s="26"/>
      <c r="G475" s="26"/>
      <c r="H475" s="26"/>
      <c r="I475" s="26"/>
    </row>
    <row r="476" spans="5:9">
      <c r="E476" s="26"/>
      <c r="F476" s="26"/>
      <c r="G476" s="26"/>
      <c r="H476" s="26"/>
      <c r="I476" s="26"/>
    </row>
    <row r="477" spans="5:9">
      <c r="E477" s="26"/>
      <c r="F477" s="26"/>
      <c r="G477" s="26"/>
      <c r="H477" s="26"/>
      <c r="I477" s="26"/>
    </row>
    <row r="478" spans="5:9">
      <c r="E478" s="26"/>
      <c r="F478" s="26"/>
      <c r="G478" s="26"/>
      <c r="H478" s="26"/>
      <c r="I478" s="26"/>
    </row>
    <row r="479" spans="5:9">
      <c r="E479" s="26"/>
      <c r="F479" s="26"/>
      <c r="G479" s="26"/>
      <c r="H479" s="26"/>
      <c r="I479" s="26"/>
    </row>
    <row r="480" spans="5:9">
      <c r="E480" s="26"/>
      <c r="F480" s="26"/>
      <c r="G480" s="26"/>
      <c r="H480" s="26"/>
      <c r="I480" s="26"/>
    </row>
    <row r="481" spans="5:9">
      <c r="E481" s="26"/>
      <c r="F481" s="26"/>
      <c r="G481" s="26"/>
      <c r="H481" s="26"/>
      <c r="I481" s="26"/>
    </row>
    <row r="482" spans="5:9">
      <c r="E482" s="26"/>
      <c r="F482" s="26"/>
      <c r="G482" s="26"/>
      <c r="H482" s="26"/>
      <c r="I482" s="26"/>
    </row>
    <row r="483" spans="5:9">
      <c r="E483" s="26"/>
      <c r="F483" s="26"/>
      <c r="G483" s="26"/>
      <c r="H483" s="26"/>
      <c r="I483" s="26"/>
    </row>
    <row r="484" spans="5:9">
      <c r="E484" s="26"/>
      <c r="F484" s="26"/>
      <c r="G484" s="26"/>
      <c r="H484" s="26"/>
      <c r="I484" s="26"/>
    </row>
    <row r="485" spans="5:9">
      <c r="E485" s="26"/>
      <c r="F485" s="26"/>
      <c r="G485" s="26"/>
      <c r="H485" s="26"/>
      <c r="I485" s="26"/>
    </row>
    <row r="486" spans="5:9">
      <c r="E486" s="26"/>
      <c r="F486" s="26"/>
      <c r="G486" s="26"/>
      <c r="H486" s="26"/>
      <c r="I486" s="26"/>
    </row>
    <row r="487" spans="5:9">
      <c r="E487" s="26"/>
      <c r="F487" s="26"/>
      <c r="G487" s="26"/>
      <c r="H487" s="26"/>
      <c r="I487" s="26"/>
    </row>
    <row r="488" spans="5:9">
      <c r="E488" s="26"/>
      <c r="F488" s="26"/>
      <c r="G488" s="26"/>
      <c r="H488" s="26"/>
      <c r="I488" s="26"/>
    </row>
    <row r="489" spans="5:9">
      <c r="E489" s="26"/>
      <c r="F489" s="26"/>
      <c r="G489" s="26"/>
      <c r="H489" s="26"/>
      <c r="I489" s="26"/>
    </row>
    <row r="490" spans="5:9">
      <c r="E490" s="26"/>
      <c r="F490" s="26"/>
      <c r="G490" s="26"/>
      <c r="H490" s="26"/>
      <c r="I490" s="26"/>
    </row>
    <row r="491" spans="5:9">
      <c r="E491" s="26"/>
      <c r="F491" s="26"/>
      <c r="G491" s="26"/>
      <c r="H491" s="26"/>
      <c r="I491" s="26"/>
    </row>
    <row r="492" spans="5:9">
      <c r="E492" s="26"/>
      <c r="F492" s="26"/>
      <c r="G492" s="26"/>
      <c r="H492" s="26"/>
      <c r="I492" s="26"/>
    </row>
    <row r="493" spans="5:9">
      <c r="E493" s="26"/>
      <c r="F493" s="26"/>
      <c r="G493" s="26"/>
      <c r="H493" s="26"/>
      <c r="I493" s="26"/>
    </row>
    <row r="494" spans="5:9">
      <c r="E494" s="26"/>
      <c r="F494" s="26"/>
      <c r="G494" s="26"/>
      <c r="H494" s="26"/>
      <c r="I494" s="26"/>
    </row>
    <row r="495" spans="5:9">
      <c r="E495" s="26"/>
      <c r="F495" s="26"/>
      <c r="G495" s="26"/>
      <c r="H495" s="26"/>
      <c r="I495" s="26"/>
    </row>
    <row r="496" spans="5:9">
      <c r="E496" s="26"/>
      <c r="F496" s="26"/>
      <c r="G496" s="26"/>
      <c r="H496" s="26"/>
      <c r="I496" s="26"/>
    </row>
    <row r="497" spans="5:9">
      <c r="E497" s="26"/>
      <c r="F497" s="26"/>
      <c r="G497" s="26"/>
      <c r="H497" s="26"/>
      <c r="I497" s="26"/>
    </row>
    <row r="498" spans="5:9">
      <c r="E498" s="26"/>
      <c r="F498" s="26"/>
      <c r="G498" s="26"/>
      <c r="H498" s="26"/>
      <c r="I498" s="26"/>
    </row>
    <row r="499" spans="5:9">
      <c r="E499" s="26"/>
      <c r="F499" s="26"/>
      <c r="G499" s="26"/>
      <c r="H499" s="26"/>
      <c r="I499" s="26"/>
    </row>
    <row r="500" spans="5:9">
      <c r="E500" s="26"/>
      <c r="F500" s="26"/>
      <c r="G500" s="26"/>
      <c r="H500" s="26"/>
      <c r="I500" s="26"/>
    </row>
    <row r="501" spans="5:9">
      <c r="E501" s="26"/>
      <c r="F501" s="26"/>
      <c r="G501" s="26"/>
      <c r="H501" s="26"/>
      <c r="I501" s="26"/>
    </row>
    <row r="502" spans="5:9">
      <c r="E502" s="26"/>
      <c r="F502" s="26"/>
      <c r="G502" s="26"/>
      <c r="H502" s="26"/>
      <c r="I502" s="26"/>
    </row>
    <row r="503" spans="5:9">
      <c r="E503" s="26"/>
      <c r="F503" s="26"/>
      <c r="G503" s="26"/>
      <c r="H503" s="26"/>
      <c r="I503" s="26"/>
    </row>
    <row r="504" spans="5:9">
      <c r="E504" s="26"/>
      <c r="F504" s="26"/>
      <c r="G504" s="26"/>
      <c r="H504" s="26"/>
      <c r="I504" s="26"/>
    </row>
    <row r="505" spans="5:9">
      <c r="E505" s="26"/>
      <c r="F505" s="26"/>
      <c r="G505" s="26"/>
      <c r="H505" s="26"/>
      <c r="I505" s="26"/>
    </row>
    <row r="506" spans="5:9">
      <c r="E506" s="26"/>
      <c r="F506" s="26"/>
      <c r="G506" s="26"/>
      <c r="H506" s="26"/>
      <c r="I506" s="26"/>
    </row>
    <row r="507" spans="5:9">
      <c r="E507" s="26"/>
      <c r="F507" s="26"/>
      <c r="G507" s="26"/>
      <c r="H507" s="26"/>
      <c r="I507" s="26"/>
    </row>
    <row r="508" spans="5:9">
      <c r="E508" s="26"/>
      <c r="F508" s="26"/>
      <c r="G508" s="26"/>
      <c r="H508" s="26"/>
      <c r="I508" s="26"/>
    </row>
    <row r="509" spans="5:9">
      <c r="E509" s="26"/>
      <c r="F509" s="26"/>
      <c r="G509" s="26"/>
      <c r="H509" s="26"/>
      <c r="I509" s="26"/>
    </row>
    <row r="510" spans="5:9">
      <c r="E510" s="26"/>
      <c r="F510" s="26"/>
      <c r="G510" s="26"/>
      <c r="H510" s="26"/>
      <c r="I510" s="26"/>
    </row>
    <row r="511" spans="5:9">
      <c r="E511" s="26"/>
      <c r="F511" s="26"/>
      <c r="G511" s="26"/>
      <c r="H511" s="26"/>
      <c r="I511" s="26"/>
    </row>
    <row r="512" spans="5:9">
      <c r="E512" s="26"/>
      <c r="F512" s="26"/>
      <c r="G512" s="26"/>
      <c r="H512" s="26"/>
      <c r="I512" s="26"/>
    </row>
    <row r="513" spans="5:9">
      <c r="E513" s="26"/>
      <c r="F513" s="26"/>
      <c r="G513" s="26"/>
      <c r="H513" s="26"/>
      <c r="I513" s="26"/>
    </row>
    <row r="514" spans="5:9">
      <c r="E514" s="26"/>
      <c r="F514" s="26"/>
      <c r="G514" s="26"/>
      <c r="H514" s="26"/>
      <c r="I514" s="26"/>
    </row>
    <row r="515" spans="5:9">
      <c r="E515" s="26"/>
      <c r="F515" s="26"/>
      <c r="G515" s="26"/>
      <c r="H515" s="26"/>
      <c r="I515" s="26"/>
    </row>
    <row r="516" spans="5:9">
      <c r="E516" s="26"/>
      <c r="F516" s="26"/>
      <c r="G516" s="26"/>
      <c r="H516" s="26"/>
      <c r="I516" s="26"/>
    </row>
    <row r="517" spans="5:9">
      <c r="E517" s="26"/>
      <c r="F517" s="26"/>
      <c r="G517" s="26"/>
      <c r="H517" s="26"/>
      <c r="I517" s="26"/>
    </row>
    <row r="518" spans="5:9">
      <c r="E518" s="26"/>
      <c r="F518" s="26"/>
      <c r="G518" s="26"/>
      <c r="H518" s="26"/>
      <c r="I518" s="26"/>
    </row>
    <row r="519" spans="5:9">
      <c r="E519" s="26"/>
      <c r="F519" s="26"/>
      <c r="G519" s="26"/>
      <c r="H519" s="26"/>
      <c r="I519" s="26"/>
    </row>
    <row r="520" spans="5:9">
      <c r="E520" s="26"/>
      <c r="F520" s="26"/>
      <c r="G520" s="26"/>
      <c r="H520" s="26"/>
      <c r="I520" s="26"/>
    </row>
    <row r="521" spans="5:9">
      <c r="E521" s="26"/>
      <c r="F521" s="26"/>
      <c r="G521" s="26"/>
      <c r="H521" s="26"/>
      <c r="I521" s="26"/>
    </row>
    <row r="522" spans="5:9">
      <c r="E522" s="26"/>
      <c r="F522" s="26"/>
      <c r="G522" s="26"/>
      <c r="H522" s="26"/>
      <c r="I522" s="26"/>
    </row>
    <row r="523" spans="5:9">
      <c r="E523" s="26"/>
      <c r="F523" s="26"/>
      <c r="G523" s="26"/>
      <c r="H523" s="26"/>
      <c r="I523" s="26"/>
    </row>
    <row r="524" spans="5:9">
      <c r="E524" s="26"/>
      <c r="F524" s="26"/>
      <c r="G524" s="26"/>
      <c r="H524" s="26"/>
      <c r="I524" s="26"/>
    </row>
    <row r="525" spans="5:9">
      <c r="E525" s="26"/>
      <c r="F525" s="26"/>
      <c r="G525" s="26"/>
      <c r="H525" s="26"/>
      <c r="I525" s="26"/>
    </row>
    <row r="526" spans="5:9">
      <c r="E526" s="26"/>
      <c r="F526" s="26"/>
      <c r="G526" s="26"/>
      <c r="H526" s="26"/>
      <c r="I526" s="26"/>
    </row>
    <row r="527" spans="5:9">
      <c r="E527" s="26"/>
      <c r="F527" s="26"/>
      <c r="G527" s="26"/>
      <c r="H527" s="26"/>
      <c r="I527" s="26"/>
    </row>
    <row r="528" spans="5:9">
      <c r="E528" s="26"/>
      <c r="F528" s="26"/>
      <c r="G528" s="26"/>
      <c r="H528" s="26"/>
      <c r="I528" s="26"/>
    </row>
    <row r="529" spans="5:9">
      <c r="E529" s="26"/>
      <c r="F529" s="26"/>
      <c r="G529" s="26"/>
      <c r="H529" s="26"/>
      <c r="I529" s="26"/>
    </row>
    <row r="530" spans="5:9">
      <c r="E530" s="26"/>
      <c r="F530" s="26"/>
      <c r="G530" s="26"/>
      <c r="H530" s="26"/>
      <c r="I530" s="26"/>
    </row>
    <row r="531" spans="5:9">
      <c r="E531" s="26"/>
      <c r="F531" s="26"/>
      <c r="G531" s="26"/>
      <c r="H531" s="26"/>
      <c r="I531" s="26"/>
    </row>
    <row r="532" spans="5:9">
      <c r="E532" s="26"/>
      <c r="F532" s="26"/>
      <c r="G532" s="26"/>
      <c r="H532" s="26"/>
      <c r="I532" s="26"/>
    </row>
    <row r="533" spans="5:9">
      <c r="E533" s="26"/>
      <c r="F533" s="26"/>
      <c r="G533" s="26"/>
      <c r="H533" s="26"/>
      <c r="I533" s="26"/>
    </row>
    <row r="534" spans="5:9">
      <c r="E534" s="26"/>
      <c r="F534" s="26"/>
      <c r="G534" s="26"/>
      <c r="H534" s="26"/>
      <c r="I534" s="26"/>
    </row>
    <row r="535" spans="5:9">
      <c r="E535" s="26"/>
      <c r="F535" s="26"/>
      <c r="G535" s="26"/>
      <c r="H535" s="26"/>
      <c r="I535" s="26"/>
    </row>
    <row r="536" spans="5:9">
      <c r="E536" s="26"/>
      <c r="F536" s="26"/>
      <c r="G536" s="26"/>
      <c r="H536" s="26"/>
      <c r="I536" s="26"/>
    </row>
    <row r="537" spans="5:9">
      <c r="E537" s="26"/>
      <c r="F537" s="26"/>
      <c r="G537" s="26"/>
      <c r="H537" s="26"/>
      <c r="I537" s="26"/>
    </row>
    <row r="538" spans="5:9">
      <c r="E538" s="26"/>
      <c r="F538" s="26"/>
      <c r="G538" s="26"/>
      <c r="H538" s="26"/>
      <c r="I538" s="26"/>
    </row>
    <row r="539" spans="5:9">
      <c r="E539" s="26"/>
      <c r="F539" s="26"/>
      <c r="G539" s="26"/>
      <c r="H539" s="26"/>
      <c r="I539" s="26"/>
    </row>
    <row r="540" spans="5:9">
      <c r="E540" s="26"/>
      <c r="F540" s="26"/>
      <c r="G540" s="26"/>
      <c r="H540" s="26"/>
      <c r="I540" s="26"/>
    </row>
    <row r="541" spans="5:9">
      <c r="E541" s="26"/>
      <c r="F541" s="26"/>
      <c r="G541" s="26"/>
      <c r="H541" s="26"/>
      <c r="I541" s="26"/>
    </row>
    <row r="542" spans="5:9">
      <c r="E542" s="26"/>
      <c r="F542" s="26"/>
      <c r="G542" s="26"/>
      <c r="H542" s="26"/>
      <c r="I542" s="26"/>
    </row>
    <row r="543" spans="5:9">
      <c r="E543" s="26"/>
      <c r="F543" s="26"/>
      <c r="G543" s="26"/>
      <c r="H543" s="26"/>
      <c r="I543" s="26"/>
    </row>
    <row r="544" spans="5:9">
      <c r="E544" s="26"/>
      <c r="F544" s="26"/>
      <c r="G544" s="26"/>
      <c r="H544" s="26"/>
      <c r="I544" s="26"/>
    </row>
    <row r="545" spans="5:9">
      <c r="E545" s="26"/>
      <c r="F545" s="26"/>
      <c r="G545" s="26"/>
      <c r="H545" s="26"/>
      <c r="I545" s="26"/>
    </row>
    <row r="546" spans="5:9">
      <c r="E546" s="26"/>
      <c r="F546" s="26"/>
      <c r="G546" s="26"/>
      <c r="H546" s="26"/>
      <c r="I546" s="26"/>
    </row>
    <row r="547" spans="5:9">
      <c r="E547" s="26"/>
      <c r="F547" s="26"/>
      <c r="G547" s="26"/>
      <c r="H547" s="26"/>
      <c r="I547" s="26"/>
    </row>
    <row r="548" spans="5:9">
      <c r="E548" s="26"/>
      <c r="F548" s="26"/>
      <c r="G548" s="26"/>
      <c r="H548" s="26"/>
      <c r="I548" s="26"/>
    </row>
    <row r="549" spans="5:9">
      <c r="E549" s="26"/>
      <c r="F549" s="26"/>
      <c r="G549" s="26"/>
      <c r="H549" s="26"/>
      <c r="I549" s="26"/>
    </row>
    <row r="550" spans="5:9">
      <c r="E550" s="26"/>
      <c r="F550" s="26"/>
      <c r="G550" s="26"/>
      <c r="H550" s="26"/>
      <c r="I550" s="26"/>
    </row>
    <row r="551" spans="5:9">
      <c r="E551" s="26"/>
      <c r="F551" s="26"/>
      <c r="G551" s="26"/>
      <c r="H551" s="26"/>
      <c r="I551" s="26"/>
    </row>
    <row r="552" spans="5:9">
      <c r="E552" s="26"/>
      <c r="F552" s="26"/>
      <c r="G552" s="26"/>
      <c r="H552" s="26"/>
      <c r="I552" s="26"/>
    </row>
    <row r="553" spans="5:9">
      <c r="E553" s="26"/>
      <c r="F553" s="26"/>
      <c r="G553" s="26"/>
      <c r="H553" s="26"/>
      <c r="I553" s="26"/>
    </row>
    <row r="554" spans="5:9">
      <c r="E554" s="26"/>
      <c r="F554" s="26"/>
      <c r="G554" s="26"/>
      <c r="H554" s="26"/>
      <c r="I554" s="26"/>
    </row>
    <row r="555" spans="5:9">
      <c r="E555" s="26"/>
      <c r="F555" s="26"/>
      <c r="G555" s="26"/>
      <c r="H555" s="26"/>
      <c r="I555" s="26"/>
    </row>
    <row r="556" spans="5:9">
      <c r="E556" s="26"/>
      <c r="F556" s="26"/>
      <c r="G556" s="26"/>
      <c r="H556" s="26"/>
      <c r="I556" s="26"/>
    </row>
    <row r="557" spans="5:9">
      <c r="E557" s="26"/>
      <c r="F557" s="26"/>
      <c r="G557" s="26"/>
      <c r="H557" s="26"/>
      <c r="I557" s="26"/>
    </row>
    <row r="558" spans="5:9">
      <c r="E558" s="26"/>
      <c r="F558" s="26"/>
      <c r="G558" s="26"/>
      <c r="H558" s="26"/>
      <c r="I558" s="26"/>
    </row>
    <row r="559" spans="5:9">
      <c r="E559" s="26"/>
      <c r="F559" s="26"/>
      <c r="G559" s="26"/>
      <c r="H559" s="26"/>
      <c r="I559" s="26"/>
    </row>
    <row r="560" spans="5:9">
      <c r="E560" s="26"/>
      <c r="F560" s="26"/>
      <c r="G560" s="26"/>
      <c r="H560" s="26"/>
      <c r="I560" s="26"/>
    </row>
    <row r="561" spans="5:9">
      <c r="E561" s="26"/>
      <c r="F561" s="26"/>
      <c r="G561" s="26"/>
      <c r="H561" s="26"/>
      <c r="I561" s="26"/>
    </row>
    <row r="562" spans="5:9">
      <c r="E562" s="26"/>
      <c r="F562" s="26"/>
      <c r="G562" s="26"/>
      <c r="H562" s="26"/>
      <c r="I562" s="26"/>
    </row>
    <row r="563" spans="5:9">
      <c r="E563" s="26"/>
      <c r="F563" s="26"/>
      <c r="G563" s="26"/>
      <c r="H563" s="26"/>
      <c r="I563" s="26"/>
    </row>
    <row r="564" spans="5:9">
      <c r="E564" s="26"/>
      <c r="F564" s="26"/>
      <c r="G564" s="26"/>
      <c r="H564" s="26"/>
      <c r="I564" s="26"/>
    </row>
    <row r="565" spans="5:9">
      <c r="E565" s="26"/>
      <c r="F565" s="26"/>
      <c r="G565" s="26"/>
      <c r="H565" s="26"/>
      <c r="I565" s="26"/>
    </row>
    <row r="566" spans="5:9">
      <c r="E566" s="26"/>
      <c r="F566" s="26"/>
      <c r="G566" s="26"/>
      <c r="H566" s="26"/>
      <c r="I566" s="26"/>
    </row>
    <row r="567" spans="5:9">
      <c r="E567" s="26"/>
      <c r="F567" s="26"/>
      <c r="G567" s="26"/>
      <c r="H567" s="26"/>
      <c r="I567" s="26"/>
    </row>
    <row r="568" spans="5:9">
      <c r="E568" s="26"/>
      <c r="F568" s="26"/>
      <c r="G568" s="26"/>
      <c r="H568" s="26"/>
      <c r="I568" s="26"/>
    </row>
    <row r="569" spans="5:9">
      <c r="E569" s="26"/>
      <c r="F569" s="26"/>
      <c r="G569" s="26"/>
      <c r="H569" s="26"/>
      <c r="I569" s="26"/>
    </row>
    <row r="570" spans="5:9">
      <c r="E570" s="26"/>
      <c r="F570" s="26"/>
      <c r="G570" s="26"/>
      <c r="H570" s="26"/>
      <c r="I570" s="26"/>
    </row>
    <row r="571" spans="5:9">
      <c r="E571" s="26"/>
      <c r="F571" s="26"/>
      <c r="G571" s="26"/>
      <c r="H571" s="26"/>
      <c r="I571" s="26"/>
    </row>
    <row r="572" spans="5:9">
      <c r="E572" s="26"/>
      <c r="F572" s="26"/>
      <c r="G572" s="26"/>
      <c r="H572" s="26"/>
      <c r="I572" s="26"/>
    </row>
    <row r="573" spans="5:9">
      <c r="E573" s="26"/>
      <c r="F573" s="26"/>
      <c r="G573" s="26"/>
      <c r="H573" s="26"/>
      <c r="I573" s="26"/>
    </row>
    <row r="574" spans="5:9">
      <c r="E574" s="26"/>
      <c r="F574" s="26"/>
      <c r="G574" s="26"/>
      <c r="H574" s="26"/>
      <c r="I574" s="26"/>
    </row>
    <row r="575" spans="5:9">
      <c r="E575" s="26"/>
      <c r="F575" s="26"/>
      <c r="G575" s="26"/>
      <c r="H575" s="26"/>
      <c r="I575" s="26"/>
    </row>
    <row r="576" spans="5:9">
      <c r="E576" s="26"/>
      <c r="F576" s="26"/>
      <c r="G576" s="26"/>
      <c r="H576" s="26"/>
      <c r="I576" s="26"/>
    </row>
    <row r="577" spans="5:9">
      <c r="E577" s="26"/>
      <c r="F577" s="26"/>
      <c r="G577" s="26"/>
      <c r="H577" s="26"/>
      <c r="I577" s="26"/>
    </row>
    <row r="578" spans="5:9">
      <c r="E578" s="26"/>
      <c r="F578" s="26"/>
      <c r="G578" s="26"/>
      <c r="H578" s="26"/>
      <c r="I578" s="26"/>
    </row>
    <row r="579" spans="5:9">
      <c r="E579" s="26"/>
      <c r="F579" s="26"/>
      <c r="G579" s="26"/>
      <c r="H579" s="26"/>
      <c r="I579" s="26"/>
    </row>
    <row r="580" spans="5:9">
      <c r="E580" s="26"/>
      <c r="F580" s="26"/>
      <c r="G580" s="26"/>
      <c r="H580" s="26"/>
      <c r="I580" s="26"/>
    </row>
    <row r="581" spans="5:9">
      <c r="E581" s="26"/>
      <c r="F581" s="26"/>
      <c r="G581" s="26"/>
      <c r="H581" s="26"/>
      <c r="I581" s="26"/>
    </row>
    <row r="582" spans="5:9">
      <c r="E582" s="26"/>
      <c r="F582" s="26"/>
      <c r="G582" s="26"/>
      <c r="H582" s="26"/>
      <c r="I582" s="26"/>
    </row>
    <row r="583" spans="5:9">
      <c r="E583" s="26"/>
      <c r="F583" s="26"/>
      <c r="G583" s="26"/>
      <c r="H583" s="26"/>
      <c r="I583" s="26"/>
    </row>
    <row r="584" spans="5:9">
      <c r="E584" s="26"/>
      <c r="F584" s="26"/>
      <c r="G584" s="26"/>
      <c r="H584" s="26"/>
      <c r="I584" s="26"/>
    </row>
    <row r="585" spans="5:9">
      <c r="E585" s="26"/>
      <c r="F585" s="26"/>
      <c r="G585" s="26"/>
      <c r="H585" s="26"/>
      <c r="I585" s="26"/>
    </row>
    <row r="586" spans="5:9">
      <c r="E586" s="26"/>
      <c r="F586" s="26"/>
      <c r="G586" s="26"/>
      <c r="H586" s="26"/>
      <c r="I586" s="26"/>
    </row>
    <row r="587" spans="5:9">
      <c r="E587" s="26"/>
      <c r="F587" s="26"/>
      <c r="G587" s="26"/>
      <c r="H587" s="26"/>
      <c r="I587" s="26"/>
    </row>
    <row r="588" spans="5:9">
      <c r="E588" s="26"/>
      <c r="F588" s="26"/>
      <c r="G588" s="26"/>
      <c r="H588" s="26"/>
      <c r="I588" s="26"/>
    </row>
    <row r="589" spans="5:9">
      <c r="E589" s="26"/>
      <c r="F589" s="26"/>
      <c r="G589" s="26"/>
      <c r="H589" s="26"/>
      <c r="I589" s="26"/>
    </row>
    <row r="590" spans="5:9">
      <c r="E590" s="26"/>
      <c r="F590" s="26"/>
      <c r="G590" s="26"/>
      <c r="H590" s="26"/>
      <c r="I590" s="26"/>
    </row>
    <row r="591" spans="5:9">
      <c r="E591" s="26"/>
      <c r="F591" s="26"/>
      <c r="G591" s="26"/>
      <c r="H591" s="26"/>
      <c r="I591" s="26"/>
    </row>
    <row r="592" spans="5:9">
      <c r="E592" s="26"/>
      <c r="F592" s="26"/>
      <c r="G592" s="26"/>
      <c r="H592" s="26"/>
      <c r="I592" s="26"/>
    </row>
    <row r="593" spans="5:9">
      <c r="E593" s="26"/>
      <c r="F593" s="26"/>
      <c r="G593" s="26"/>
      <c r="H593" s="26"/>
      <c r="I593" s="26"/>
    </row>
    <row r="594" spans="5:9">
      <c r="E594" s="26"/>
      <c r="F594" s="26"/>
      <c r="G594" s="26"/>
      <c r="H594" s="26"/>
      <c r="I594" s="26"/>
    </row>
    <row r="595" spans="5:9">
      <c r="E595" s="26"/>
      <c r="F595" s="26"/>
      <c r="G595" s="26"/>
      <c r="H595" s="26"/>
      <c r="I595" s="26"/>
    </row>
    <row r="596" spans="5:9">
      <c r="E596" s="26"/>
      <c r="F596" s="26"/>
      <c r="G596" s="26"/>
      <c r="H596" s="26"/>
      <c r="I596" s="26"/>
    </row>
    <row r="597" spans="5:9">
      <c r="E597" s="26"/>
      <c r="F597" s="26"/>
      <c r="G597" s="26"/>
      <c r="H597" s="26"/>
      <c r="I597" s="26"/>
    </row>
    <row r="598" spans="5:9">
      <c r="E598" s="26"/>
      <c r="F598" s="26"/>
      <c r="G598" s="26"/>
      <c r="H598" s="26"/>
      <c r="I598" s="26"/>
    </row>
    <row r="599" spans="5:9">
      <c r="E599" s="26"/>
      <c r="F599" s="26"/>
      <c r="G599" s="26"/>
      <c r="H599" s="26"/>
      <c r="I599" s="26"/>
    </row>
    <row r="600" spans="5:9">
      <c r="E600" s="26"/>
      <c r="F600" s="26"/>
      <c r="G600" s="26"/>
      <c r="H600" s="26"/>
      <c r="I600" s="26"/>
    </row>
    <row r="601" spans="5:9">
      <c r="E601" s="26"/>
      <c r="F601" s="26"/>
      <c r="G601" s="26"/>
      <c r="H601" s="26"/>
      <c r="I601" s="26"/>
    </row>
    <row r="602" spans="5:9">
      <c r="E602" s="26"/>
      <c r="F602" s="26"/>
      <c r="G602" s="26"/>
      <c r="H602" s="26"/>
      <c r="I602" s="26"/>
    </row>
    <row r="603" spans="5:9">
      <c r="E603" s="26"/>
      <c r="F603" s="26"/>
      <c r="G603" s="26"/>
      <c r="H603" s="26"/>
      <c r="I603" s="26"/>
    </row>
    <row r="604" spans="5:9">
      <c r="E604" s="26"/>
      <c r="F604" s="26"/>
      <c r="G604" s="26"/>
      <c r="H604" s="26"/>
      <c r="I604" s="26"/>
    </row>
    <row r="605" spans="5:9">
      <c r="E605" s="26"/>
      <c r="F605" s="26"/>
      <c r="G605" s="26"/>
      <c r="H605" s="26"/>
      <c r="I605" s="26"/>
    </row>
    <row r="606" spans="5:9">
      <c r="E606" s="26"/>
      <c r="F606" s="26"/>
      <c r="G606" s="26"/>
      <c r="H606" s="26"/>
      <c r="I606" s="26"/>
    </row>
    <row r="607" spans="5:9">
      <c r="E607" s="26"/>
      <c r="F607" s="26"/>
      <c r="G607" s="26"/>
      <c r="H607" s="26"/>
      <c r="I607" s="26"/>
    </row>
    <row r="608" spans="5:9">
      <c r="E608" s="26"/>
      <c r="F608" s="26"/>
      <c r="G608" s="26"/>
      <c r="H608" s="26"/>
      <c r="I608" s="26"/>
    </row>
    <row r="609" spans="5:9">
      <c r="E609" s="26"/>
      <c r="F609" s="26"/>
      <c r="G609" s="26"/>
      <c r="H609" s="26"/>
      <c r="I609" s="26"/>
    </row>
    <row r="610" spans="5:9">
      <c r="E610" s="26"/>
      <c r="F610" s="26"/>
      <c r="G610" s="26"/>
      <c r="H610" s="26"/>
      <c r="I610" s="26"/>
    </row>
    <row r="611" spans="5:9">
      <c r="E611" s="26"/>
      <c r="F611" s="26"/>
      <c r="G611" s="26"/>
      <c r="H611" s="26"/>
      <c r="I611" s="26"/>
    </row>
    <row r="612" spans="5:9">
      <c r="E612" s="26"/>
      <c r="F612" s="26"/>
      <c r="G612" s="26"/>
      <c r="H612" s="26"/>
      <c r="I612" s="26"/>
    </row>
    <row r="613" spans="5:9">
      <c r="E613" s="26"/>
      <c r="F613" s="26"/>
      <c r="G613" s="26"/>
      <c r="H613" s="26"/>
      <c r="I613" s="26"/>
    </row>
    <row r="614" spans="5:9">
      <c r="E614" s="26"/>
      <c r="F614" s="26"/>
      <c r="G614" s="26"/>
      <c r="H614" s="26"/>
      <c r="I614" s="26"/>
    </row>
    <row r="615" spans="5:9">
      <c r="E615" s="26"/>
      <c r="F615" s="26"/>
      <c r="G615" s="26"/>
      <c r="H615" s="26"/>
      <c r="I615" s="26"/>
    </row>
    <row r="616" spans="5:9">
      <c r="E616" s="26"/>
      <c r="F616" s="26"/>
      <c r="G616" s="26"/>
      <c r="H616" s="26"/>
      <c r="I616" s="26"/>
    </row>
    <row r="617" spans="5:9">
      <c r="E617" s="26"/>
      <c r="F617" s="26"/>
      <c r="G617" s="26"/>
      <c r="H617" s="26"/>
      <c r="I617" s="26"/>
    </row>
    <row r="618" spans="5:9">
      <c r="E618" s="26"/>
      <c r="F618" s="26"/>
      <c r="G618" s="26"/>
      <c r="H618" s="26"/>
      <c r="I618" s="26"/>
    </row>
    <row r="619" spans="5:9">
      <c r="E619" s="26"/>
      <c r="F619" s="26"/>
      <c r="G619" s="26"/>
      <c r="H619" s="26"/>
      <c r="I619" s="26"/>
    </row>
    <row r="620" spans="5:9">
      <c r="E620" s="26"/>
      <c r="F620" s="26"/>
      <c r="G620" s="26"/>
      <c r="H620" s="26"/>
      <c r="I620" s="26"/>
    </row>
    <row r="621" spans="5:9">
      <c r="E621" s="26"/>
      <c r="F621" s="26"/>
      <c r="G621" s="26"/>
      <c r="H621" s="26"/>
      <c r="I621" s="26"/>
    </row>
    <row r="622" spans="5:9">
      <c r="E622" s="26"/>
      <c r="F622" s="26"/>
      <c r="G622" s="26"/>
      <c r="H622" s="26"/>
      <c r="I622" s="26"/>
    </row>
    <row r="623" spans="5:9">
      <c r="E623" s="26"/>
      <c r="F623" s="26"/>
      <c r="G623" s="26"/>
      <c r="H623" s="26"/>
      <c r="I623" s="26"/>
    </row>
    <row r="624" spans="5:9">
      <c r="E624" s="26"/>
      <c r="F624" s="26"/>
      <c r="G624" s="26"/>
      <c r="H624" s="26"/>
      <c r="I624" s="26"/>
    </row>
    <row r="625" spans="5:9">
      <c r="E625" s="26"/>
      <c r="F625" s="26"/>
      <c r="G625" s="26"/>
      <c r="H625" s="26"/>
      <c r="I625" s="26"/>
    </row>
    <row r="626" spans="5:9">
      <c r="E626" s="26"/>
      <c r="F626" s="26"/>
      <c r="G626" s="26"/>
      <c r="H626" s="26"/>
      <c r="I626" s="26"/>
    </row>
    <row r="627" spans="5:9">
      <c r="E627" s="26"/>
      <c r="F627" s="26"/>
      <c r="G627" s="26"/>
      <c r="H627" s="26"/>
      <c r="I627" s="26"/>
    </row>
    <row r="628" spans="5:9">
      <c r="E628" s="26"/>
      <c r="F628" s="26"/>
      <c r="G628" s="26"/>
      <c r="H628" s="26"/>
      <c r="I628" s="26"/>
    </row>
    <row r="629" spans="5:9">
      <c r="E629" s="26"/>
      <c r="F629" s="26"/>
      <c r="G629" s="26"/>
      <c r="H629" s="26"/>
      <c r="I629" s="26"/>
    </row>
    <row r="630" spans="5:9">
      <c r="E630" s="26"/>
      <c r="F630" s="26"/>
      <c r="G630" s="26"/>
      <c r="H630" s="26"/>
      <c r="I630" s="26"/>
    </row>
    <row r="631" spans="5:9">
      <c r="E631" s="26"/>
      <c r="F631" s="26"/>
      <c r="G631" s="26"/>
      <c r="H631" s="26"/>
      <c r="I631" s="26"/>
    </row>
    <row r="632" spans="5:9">
      <c r="E632" s="26"/>
      <c r="F632" s="26"/>
      <c r="G632" s="26"/>
      <c r="H632" s="26"/>
      <c r="I632" s="26"/>
    </row>
    <row r="633" spans="5:9">
      <c r="E633" s="26"/>
      <c r="F633" s="26"/>
      <c r="G633" s="26"/>
      <c r="H633" s="26"/>
      <c r="I633" s="26"/>
    </row>
    <row r="634" spans="5:9">
      <c r="E634" s="26"/>
      <c r="F634" s="26"/>
      <c r="G634" s="26"/>
      <c r="H634" s="26"/>
      <c r="I634" s="26"/>
    </row>
    <row r="635" spans="5:9">
      <c r="E635" s="26"/>
      <c r="F635" s="26"/>
      <c r="G635" s="26"/>
      <c r="H635" s="26"/>
      <c r="I635" s="26"/>
    </row>
    <row r="636" spans="5:9">
      <c r="E636" s="26"/>
      <c r="F636" s="26"/>
      <c r="G636" s="26"/>
      <c r="H636" s="26"/>
      <c r="I636" s="26"/>
    </row>
    <row r="637" spans="5:9">
      <c r="E637" s="26"/>
      <c r="F637" s="26"/>
      <c r="G637" s="26"/>
      <c r="H637" s="26"/>
      <c r="I637" s="26"/>
    </row>
    <row r="638" spans="5:9">
      <c r="E638" s="26"/>
      <c r="F638" s="26"/>
      <c r="G638" s="26"/>
      <c r="H638" s="26"/>
      <c r="I638" s="26"/>
    </row>
    <row r="639" spans="5:9">
      <c r="E639" s="26"/>
      <c r="F639" s="26"/>
      <c r="G639" s="26"/>
      <c r="H639" s="26"/>
      <c r="I639" s="26"/>
    </row>
    <row r="640" spans="5:9">
      <c r="E640" s="26"/>
      <c r="F640" s="26"/>
      <c r="G640" s="26"/>
      <c r="H640" s="26"/>
      <c r="I640" s="26"/>
    </row>
    <row r="641" spans="5:9">
      <c r="E641" s="26"/>
      <c r="F641" s="26"/>
      <c r="G641" s="26"/>
      <c r="H641" s="26"/>
      <c r="I641" s="26"/>
    </row>
    <row r="642" spans="5:9">
      <c r="E642" s="26"/>
      <c r="F642" s="26"/>
      <c r="G642" s="26"/>
      <c r="H642" s="26"/>
      <c r="I642" s="26"/>
    </row>
    <row r="643" spans="5:9">
      <c r="E643" s="26"/>
      <c r="F643" s="26"/>
      <c r="G643" s="26"/>
      <c r="H643" s="26"/>
      <c r="I643" s="26"/>
    </row>
    <row r="644" spans="5:9">
      <c r="E644" s="26"/>
      <c r="F644" s="26"/>
      <c r="G644" s="26"/>
      <c r="H644" s="26"/>
      <c r="I644" s="26"/>
    </row>
    <row r="645" spans="5:9">
      <c r="E645" s="26"/>
      <c r="F645" s="26"/>
      <c r="G645" s="26"/>
      <c r="H645" s="26"/>
      <c r="I645" s="26"/>
    </row>
    <row r="646" spans="5:9">
      <c r="E646" s="26"/>
      <c r="F646" s="26"/>
      <c r="G646" s="26"/>
      <c r="H646" s="26"/>
      <c r="I646" s="26"/>
    </row>
    <row r="647" spans="5:9">
      <c r="E647" s="26"/>
      <c r="F647" s="26"/>
      <c r="G647" s="26"/>
      <c r="H647" s="26"/>
      <c r="I647" s="26"/>
    </row>
    <row r="648" spans="5:9">
      <c r="E648" s="26"/>
      <c r="F648" s="26"/>
      <c r="G648" s="26"/>
      <c r="H648" s="26"/>
      <c r="I648" s="26"/>
    </row>
    <row r="649" spans="5:9">
      <c r="E649" s="26"/>
      <c r="F649" s="26"/>
      <c r="G649" s="26"/>
      <c r="H649" s="26"/>
      <c r="I649" s="26"/>
    </row>
    <row r="650" spans="5:9">
      <c r="E650" s="26"/>
      <c r="F650" s="26"/>
      <c r="G650" s="26"/>
      <c r="H650" s="26"/>
      <c r="I650" s="26"/>
    </row>
    <row r="651" spans="5:9">
      <c r="E651" s="26"/>
      <c r="F651" s="26"/>
      <c r="G651" s="26"/>
      <c r="H651" s="26"/>
      <c r="I651" s="26"/>
    </row>
    <row r="652" spans="5:9">
      <c r="E652" s="26"/>
      <c r="F652" s="26"/>
      <c r="G652" s="26"/>
      <c r="H652" s="26"/>
      <c r="I652" s="26"/>
    </row>
    <row r="653" spans="5:9">
      <c r="E653" s="26"/>
      <c r="F653" s="26"/>
      <c r="G653" s="26"/>
      <c r="H653" s="26"/>
      <c r="I653" s="26"/>
    </row>
    <row r="654" spans="5:9">
      <c r="E654" s="26"/>
      <c r="F654" s="26"/>
      <c r="G654" s="26"/>
      <c r="H654" s="26"/>
      <c r="I654" s="26"/>
    </row>
    <row r="655" spans="5:9">
      <c r="E655" s="26"/>
      <c r="F655" s="26"/>
      <c r="G655" s="26"/>
      <c r="H655" s="26"/>
      <c r="I655" s="26"/>
    </row>
    <row r="656" spans="5:9">
      <c r="E656" s="26"/>
      <c r="F656" s="26"/>
      <c r="G656" s="26"/>
      <c r="H656" s="26"/>
      <c r="I656" s="26"/>
    </row>
    <row r="657" spans="5:9">
      <c r="E657" s="26"/>
      <c r="F657" s="26"/>
      <c r="G657" s="26"/>
      <c r="H657" s="26"/>
      <c r="I657" s="26"/>
    </row>
    <row r="658" spans="5:9">
      <c r="E658" s="26"/>
      <c r="F658" s="26"/>
      <c r="G658" s="26"/>
      <c r="H658" s="26"/>
      <c r="I658" s="26"/>
    </row>
    <row r="659" spans="5:9">
      <c r="E659" s="26"/>
      <c r="F659" s="26"/>
      <c r="G659" s="26"/>
      <c r="H659" s="26"/>
      <c r="I659" s="26"/>
    </row>
    <row r="660" spans="5:9">
      <c r="E660" s="26"/>
      <c r="F660" s="26"/>
      <c r="G660" s="26"/>
      <c r="H660" s="26"/>
      <c r="I660" s="26"/>
    </row>
    <row r="661" spans="5:9">
      <c r="E661" s="26"/>
      <c r="F661" s="26"/>
      <c r="G661" s="26"/>
      <c r="H661" s="26"/>
      <c r="I661" s="26"/>
    </row>
    <row r="662" spans="5:9">
      <c r="E662" s="26"/>
      <c r="F662" s="26"/>
      <c r="G662" s="26"/>
      <c r="H662" s="26"/>
      <c r="I662" s="26"/>
    </row>
    <row r="663" spans="5:9">
      <c r="E663" s="26"/>
      <c r="F663" s="26"/>
      <c r="G663" s="26"/>
      <c r="H663" s="26"/>
      <c r="I663" s="26"/>
    </row>
    <row r="664" spans="5:9">
      <c r="E664" s="26"/>
      <c r="F664" s="26"/>
      <c r="G664" s="26"/>
      <c r="H664" s="26"/>
      <c r="I664" s="26"/>
    </row>
    <row r="665" spans="5:9">
      <c r="E665" s="26"/>
      <c r="F665" s="26"/>
      <c r="G665" s="26"/>
      <c r="H665" s="26"/>
      <c r="I665" s="26"/>
    </row>
    <row r="666" spans="5:9">
      <c r="E666" s="26"/>
      <c r="F666" s="26"/>
      <c r="G666" s="26"/>
      <c r="H666" s="26"/>
      <c r="I666" s="26"/>
    </row>
    <row r="667" spans="5:9">
      <c r="E667" s="26"/>
      <c r="F667" s="26"/>
      <c r="G667" s="26"/>
      <c r="H667" s="26"/>
      <c r="I667" s="26"/>
    </row>
    <row r="668" spans="5:9">
      <c r="E668" s="26"/>
      <c r="F668" s="26"/>
      <c r="G668" s="26"/>
      <c r="H668" s="26"/>
      <c r="I668" s="26"/>
    </row>
    <row r="669" spans="5:9">
      <c r="E669" s="26"/>
      <c r="F669" s="26"/>
      <c r="G669" s="26"/>
      <c r="H669" s="26"/>
      <c r="I669" s="26"/>
    </row>
    <row r="670" spans="5:9">
      <c r="E670" s="26"/>
      <c r="F670" s="26"/>
      <c r="G670" s="26"/>
      <c r="H670" s="26"/>
      <c r="I670" s="26"/>
    </row>
    <row r="671" spans="5:9">
      <c r="E671" s="26"/>
      <c r="F671" s="26"/>
      <c r="G671" s="26"/>
      <c r="H671" s="26"/>
      <c r="I671" s="26"/>
    </row>
    <row r="672" spans="5:9">
      <c r="E672" s="26"/>
      <c r="F672" s="26"/>
      <c r="G672" s="26"/>
      <c r="H672" s="26"/>
      <c r="I672" s="26"/>
    </row>
    <row r="673" spans="5:9">
      <c r="E673" s="26"/>
      <c r="F673" s="26"/>
      <c r="G673" s="26"/>
      <c r="H673" s="26"/>
      <c r="I673" s="26"/>
    </row>
    <row r="674" spans="5:9">
      <c r="E674" s="26"/>
      <c r="F674" s="26"/>
      <c r="G674" s="26"/>
      <c r="H674" s="26"/>
      <c r="I674" s="26"/>
    </row>
    <row r="675" spans="5:9">
      <c r="E675" s="26"/>
      <c r="F675" s="26"/>
      <c r="G675" s="26"/>
      <c r="H675" s="26"/>
      <c r="I675" s="26"/>
    </row>
    <row r="676" spans="5:9">
      <c r="E676" s="26"/>
      <c r="F676" s="26"/>
      <c r="G676" s="26"/>
      <c r="H676" s="26"/>
      <c r="I676" s="26"/>
    </row>
    <row r="677" spans="5:9">
      <c r="E677" s="26"/>
      <c r="F677" s="26"/>
      <c r="G677" s="26"/>
      <c r="H677" s="26"/>
      <c r="I677" s="26"/>
    </row>
    <row r="678" spans="5:9">
      <c r="E678" s="26"/>
      <c r="F678" s="26"/>
      <c r="G678" s="26"/>
      <c r="H678" s="26"/>
      <c r="I678" s="26"/>
    </row>
    <row r="679" spans="5:9">
      <c r="E679" s="26"/>
      <c r="F679" s="26"/>
      <c r="G679" s="26"/>
      <c r="H679" s="26"/>
      <c r="I679" s="26"/>
    </row>
    <row r="680" spans="5:9">
      <c r="E680" s="26"/>
      <c r="F680" s="26"/>
      <c r="G680" s="26"/>
      <c r="H680" s="26"/>
      <c r="I680" s="26"/>
    </row>
    <row r="681" spans="5:9">
      <c r="E681" s="26"/>
      <c r="F681" s="26"/>
      <c r="G681" s="26"/>
      <c r="H681" s="26"/>
      <c r="I681" s="26"/>
    </row>
    <row r="682" spans="5:9">
      <c r="E682" s="26"/>
      <c r="F682" s="26"/>
      <c r="G682" s="26"/>
      <c r="H682" s="26"/>
      <c r="I682" s="26"/>
    </row>
    <row r="683" spans="5:9">
      <c r="E683" s="26"/>
      <c r="F683" s="26"/>
      <c r="G683" s="26"/>
      <c r="H683" s="26"/>
      <c r="I683" s="26"/>
    </row>
    <row r="684" spans="5:9">
      <c r="E684" s="26"/>
      <c r="F684" s="26"/>
      <c r="G684" s="26"/>
      <c r="H684" s="26"/>
      <c r="I684" s="26"/>
    </row>
    <row r="685" spans="5:9">
      <c r="E685" s="26"/>
      <c r="F685" s="26"/>
      <c r="G685" s="26"/>
      <c r="H685" s="26"/>
      <c r="I685" s="26"/>
    </row>
    <row r="686" spans="5:9">
      <c r="E686" s="26"/>
      <c r="F686" s="26"/>
      <c r="G686" s="26"/>
      <c r="H686" s="26"/>
      <c r="I686" s="26"/>
    </row>
    <row r="687" spans="5:9">
      <c r="E687" s="26"/>
      <c r="F687" s="26"/>
      <c r="G687" s="26"/>
      <c r="H687" s="26"/>
      <c r="I687" s="26"/>
    </row>
    <row r="688" spans="5:9">
      <c r="E688" s="26"/>
      <c r="F688" s="26"/>
      <c r="G688" s="26"/>
      <c r="H688" s="26"/>
      <c r="I688" s="26"/>
    </row>
    <row r="689" spans="5:9">
      <c r="E689" s="26"/>
      <c r="F689" s="26"/>
      <c r="G689" s="26"/>
      <c r="H689" s="26"/>
      <c r="I689" s="26"/>
    </row>
    <row r="690" spans="5:9">
      <c r="E690" s="26"/>
      <c r="F690" s="26"/>
      <c r="G690" s="26"/>
      <c r="H690" s="26"/>
      <c r="I690" s="26"/>
    </row>
    <row r="691" spans="5:9">
      <c r="E691" s="26"/>
      <c r="F691" s="26"/>
      <c r="G691" s="26"/>
      <c r="H691" s="26"/>
      <c r="I691" s="26"/>
    </row>
    <row r="692" spans="5:9">
      <c r="E692" s="26"/>
      <c r="F692" s="26"/>
      <c r="G692" s="26"/>
      <c r="H692" s="26"/>
      <c r="I692" s="26"/>
    </row>
    <row r="693" spans="5:9">
      <c r="E693" s="26"/>
      <c r="F693" s="26"/>
      <c r="G693" s="26"/>
      <c r="H693" s="26"/>
      <c r="I693" s="26"/>
    </row>
    <row r="694" spans="5:9">
      <c r="E694" s="26"/>
      <c r="F694" s="26"/>
      <c r="G694" s="26"/>
      <c r="H694" s="26"/>
      <c r="I694" s="26"/>
    </row>
    <row r="695" spans="5:9">
      <c r="E695" s="26"/>
      <c r="F695" s="26"/>
      <c r="G695" s="26"/>
      <c r="H695" s="26"/>
      <c r="I695" s="26"/>
    </row>
    <row r="696" spans="5:9">
      <c r="E696" s="26"/>
      <c r="F696" s="26"/>
      <c r="G696" s="26"/>
      <c r="H696" s="26"/>
      <c r="I696" s="26"/>
    </row>
    <row r="697" spans="5:9">
      <c r="E697" s="26"/>
      <c r="F697" s="26"/>
      <c r="G697" s="26"/>
      <c r="H697" s="26"/>
      <c r="I697" s="26"/>
    </row>
    <row r="698" spans="5:9">
      <c r="E698" s="26"/>
      <c r="F698" s="26"/>
      <c r="G698" s="26"/>
      <c r="H698" s="26"/>
      <c r="I698" s="26"/>
    </row>
    <row r="699" spans="5:9">
      <c r="E699" s="26"/>
      <c r="F699" s="26"/>
      <c r="G699" s="26"/>
      <c r="H699" s="26"/>
      <c r="I699" s="26"/>
    </row>
    <row r="700" spans="5:9">
      <c r="E700" s="26"/>
      <c r="F700" s="26"/>
      <c r="G700" s="26"/>
      <c r="H700" s="26"/>
      <c r="I700" s="26"/>
    </row>
    <row r="701" spans="5:9">
      <c r="E701" s="26"/>
      <c r="F701" s="26"/>
      <c r="G701" s="26"/>
      <c r="H701" s="26"/>
      <c r="I701" s="26"/>
    </row>
    <row r="702" spans="5:9">
      <c r="E702" s="26"/>
      <c r="F702" s="26"/>
      <c r="G702" s="26"/>
      <c r="H702" s="26"/>
      <c r="I702" s="26"/>
    </row>
    <row r="703" spans="5:9">
      <c r="E703" s="26"/>
      <c r="F703" s="26"/>
      <c r="G703" s="26"/>
      <c r="H703" s="26"/>
      <c r="I703" s="26"/>
    </row>
    <row r="704" spans="5:9">
      <c r="E704" s="26"/>
      <c r="F704" s="26"/>
      <c r="G704" s="26"/>
      <c r="H704" s="26"/>
      <c r="I704" s="26"/>
    </row>
    <row r="705" spans="5:9">
      <c r="E705" s="26"/>
      <c r="F705" s="26"/>
      <c r="G705" s="26"/>
      <c r="H705" s="26"/>
      <c r="I705" s="26"/>
    </row>
    <row r="706" spans="5:9">
      <c r="E706" s="26"/>
      <c r="F706" s="26"/>
      <c r="G706" s="26"/>
      <c r="H706" s="26"/>
      <c r="I706" s="26"/>
    </row>
    <row r="707" spans="5:9">
      <c r="E707" s="26"/>
      <c r="F707" s="26"/>
      <c r="G707" s="26"/>
      <c r="H707" s="26"/>
      <c r="I707" s="26"/>
    </row>
    <row r="708" spans="5:9">
      <c r="E708" s="26"/>
      <c r="F708" s="26"/>
      <c r="G708" s="26"/>
      <c r="H708" s="26"/>
      <c r="I708" s="26"/>
    </row>
    <row r="709" spans="5:9">
      <c r="E709" s="26"/>
      <c r="F709" s="26"/>
      <c r="G709" s="26"/>
      <c r="H709" s="26"/>
      <c r="I709" s="26"/>
    </row>
    <row r="710" spans="5:9">
      <c r="E710" s="26"/>
      <c r="F710" s="26"/>
      <c r="G710" s="26"/>
      <c r="H710" s="26"/>
      <c r="I710" s="26"/>
    </row>
    <row r="711" spans="5:9">
      <c r="E711" s="26"/>
      <c r="F711" s="26"/>
      <c r="G711" s="26"/>
      <c r="H711" s="26"/>
      <c r="I711" s="26"/>
    </row>
    <row r="712" spans="5:9">
      <c r="E712" s="26"/>
      <c r="F712" s="26"/>
      <c r="G712" s="26"/>
      <c r="H712" s="26"/>
      <c r="I712" s="26"/>
    </row>
    <row r="713" spans="5:9">
      <c r="E713" s="26"/>
      <c r="F713" s="26"/>
      <c r="G713" s="26"/>
      <c r="H713" s="26"/>
      <c r="I713" s="26"/>
    </row>
    <row r="714" spans="5:9">
      <c r="E714" s="26"/>
      <c r="F714" s="26"/>
      <c r="G714" s="26"/>
      <c r="H714" s="26"/>
      <c r="I714" s="26"/>
    </row>
    <row r="715" spans="5:9">
      <c r="E715" s="26"/>
      <c r="F715" s="26"/>
      <c r="G715" s="26"/>
      <c r="H715" s="26"/>
      <c r="I715" s="26"/>
    </row>
    <row r="716" spans="5:9">
      <c r="E716" s="26"/>
      <c r="F716" s="26"/>
      <c r="G716" s="26"/>
      <c r="H716" s="26"/>
      <c r="I716" s="26"/>
    </row>
    <row r="717" spans="5:9">
      <c r="E717" s="26"/>
      <c r="F717" s="26"/>
      <c r="G717" s="26"/>
      <c r="H717" s="26"/>
      <c r="I717" s="26"/>
    </row>
    <row r="718" spans="5:9">
      <c r="E718" s="26"/>
      <c r="F718" s="26"/>
      <c r="G718" s="26"/>
      <c r="H718" s="26"/>
      <c r="I718" s="26"/>
    </row>
    <row r="719" spans="5:9">
      <c r="E719" s="26"/>
      <c r="F719" s="26"/>
      <c r="G719" s="26"/>
      <c r="H719" s="26"/>
      <c r="I719" s="26"/>
    </row>
    <row r="720" spans="5:9">
      <c r="E720" s="26"/>
      <c r="F720" s="26"/>
      <c r="G720" s="26"/>
      <c r="H720" s="26"/>
      <c r="I720" s="26"/>
    </row>
    <row r="721" spans="5:9">
      <c r="E721" s="26"/>
      <c r="F721" s="26"/>
      <c r="G721" s="26"/>
      <c r="H721" s="26"/>
      <c r="I721" s="26"/>
    </row>
    <row r="722" spans="5:9">
      <c r="E722" s="26"/>
      <c r="F722" s="26"/>
      <c r="G722" s="26"/>
      <c r="H722" s="26"/>
      <c r="I722" s="26"/>
    </row>
    <row r="723" spans="5:9">
      <c r="E723" s="26"/>
      <c r="F723" s="26"/>
      <c r="G723" s="26"/>
      <c r="H723" s="26"/>
      <c r="I723" s="26"/>
    </row>
    <row r="724" spans="5:9">
      <c r="E724" s="26"/>
      <c r="F724" s="26"/>
      <c r="G724" s="26"/>
      <c r="H724" s="26"/>
      <c r="I724" s="26"/>
    </row>
    <row r="725" spans="5:9">
      <c r="E725" s="26"/>
      <c r="F725" s="26"/>
      <c r="G725" s="26"/>
      <c r="H725" s="26"/>
      <c r="I725" s="26"/>
    </row>
    <row r="726" spans="5:9">
      <c r="E726" s="26"/>
      <c r="F726" s="26"/>
      <c r="G726" s="26"/>
      <c r="H726" s="26"/>
      <c r="I726" s="26"/>
    </row>
    <row r="727" spans="5:9">
      <c r="E727" s="26"/>
      <c r="F727" s="26"/>
      <c r="G727" s="26"/>
      <c r="H727" s="26"/>
      <c r="I727" s="26"/>
    </row>
  </sheetData>
  <mergeCells count="20">
    <mergeCell ref="H113:H114"/>
    <mergeCell ref="I113:I114"/>
    <mergeCell ref="C3:F3"/>
    <mergeCell ref="C4:F4"/>
    <mergeCell ref="A5:I5"/>
    <mergeCell ref="A6:I6"/>
    <mergeCell ref="A7:I7"/>
    <mergeCell ref="B9:D9"/>
    <mergeCell ref="B65:D65"/>
    <mergeCell ref="E65:I65"/>
    <mergeCell ref="B105:G106"/>
    <mergeCell ref="H110:H112"/>
    <mergeCell ref="I110:I112"/>
    <mergeCell ref="B130:I130"/>
    <mergeCell ref="A120:A121"/>
    <mergeCell ref="B120:I120"/>
    <mergeCell ref="B121:I121"/>
    <mergeCell ref="B127:I127"/>
    <mergeCell ref="B128:I128"/>
    <mergeCell ref="B129:I129"/>
  </mergeCells>
  <pageMargins left="0.7" right="0.7" top="0.75" bottom="0.75" header="0.3" footer="0.3"/>
  <pageSetup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55660-AAF9-48E0-8143-8AD408F53696}">
  <dimension ref="A1:AK108"/>
  <sheetViews>
    <sheetView workbookViewId="0">
      <selection activeCell="N29" sqref="N29"/>
    </sheetView>
  </sheetViews>
  <sheetFormatPr defaultRowHeight="14.45"/>
  <cols>
    <col min="1" max="6" width="2.85546875" style="189" customWidth="1"/>
    <col min="7" max="7" width="34.42578125" style="189" customWidth="1"/>
    <col min="8" max="8" width="8.85546875" bestFit="1" customWidth="1"/>
    <col min="9" max="9" width="2.140625" customWidth="1"/>
    <col min="10" max="10" width="8.28515625" bestFit="1" customWidth="1"/>
    <col min="11" max="11" width="2.140625" customWidth="1"/>
    <col min="12" max="12" width="8.28515625" bestFit="1" customWidth="1"/>
    <col min="13" max="13" width="2.140625" customWidth="1"/>
    <col min="14" max="14" width="8.28515625" bestFit="1" customWidth="1"/>
    <col min="15" max="15" width="2.140625" customWidth="1"/>
    <col min="16" max="16" width="8.28515625" bestFit="1" customWidth="1"/>
    <col min="17" max="17" width="2.140625" customWidth="1"/>
    <col min="18" max="18" width="8.28515625" bestFit="1" customWidth="1"/>
    <col min="19" max="19" width="2.140625" customWidth="1"/>
    <col min="20" max="20" width="8.28515625" bestFit="1" customWidth="1"/>
    <col min="21" max="21" width="2.140625" customWidth="1"/>
    <col min="22" max="22" width="8.28515625" bestFit="1" customWidth="1"/>
    <col min="23" max="23" width="2.140625" customWidth="1"/>
    <col min="24" max="24" width="8.28515625" bestFit="1" customWidth="1"/>
    <col min="25" max="25" width="2.140625" customWidth="1"/>
    <col min="26" max="26" width="8.28515625" bestFit="1" customWidth="1"/>
    <col min="27" max="27" width="2.140625" customWidth="1"/>
    <col min="28" max="28" width="8.85546875" bestFit="1" customWidth="1"/>
    <col min="29" max="29" width="2.140625" customWidth="1"/>
    <col min="30" max="30" width="8.85546875" bestFit="1" customWidth="1"/>
    <col min="31" max="31" width="2.140625" customWidth="1"/>
    <col min="32" max="32" width="9.5703125" bestFit="1" customWidth="1"/>
    <col min="34" max="34" width="18.85546875" bestFit="1" customWidth="1"/>
    <col min="35" max="35" width="9.85546875" bestFit="1" customWidth="1"/>
    <col min="36" max="36" width="11.85546875" bestFit="1" customWidth="1"/>
    <col min="37" max="37" width="17.85546875" bestFit="1" customWidth="1"/>
  </cols>
  <sheetData>
    <row r="1" spans="1:37" s="181" customFormat="1" ht="15" thickBot="1">
      <c r="A1" s="178"/>
      <c r="B1" s="178"/>
      <c r="C1" s="178"/>
      <c r="D1" s="178"/>
      <c r="E1" s="178"/>
      <c r="F1" s="178"/>
      <c r="G1" s="178"/>
      <c r="H1" s="179" t="s">
        <v>137</v>
      </c>
      <c r="I1" s="180"/>
      <c r="J1" s="179" t="s">
        <v>138</v>
      </c>
      <c r="K1" s="180"/>
      <c r="L1" s="179" t="s">
        <v>139</v>
      </c>
      <c r="M1" s="180"/>
      <c r="N1" s="179" t="s">
        <v>140</v>
      </c>
      <c r="O1" s="180"/>
      <c r="P1" s="179" t="s">
        <v>141</v>
      </c>
      <c r="Q1" s="180"/>
      <c r="R1" s="179" t="s">
        <v>142</v>
      </c>
      <c r="S1" s="180"/>
      <c r="T1" s="179" t="s">
        <v>143</v>
      </c>
      <c r="U1" s="180"/>
      <c r="V1" s="179" t="s">
        <v>144</v>
      </c>
      <c r="W1" s="180"/>
      <c r="X1" s="179" t="s">
        <v>145</v>
      </c>
      <c r="Y1" s="180"/>
      <c r="Z1" s="179" t="s">
        <v>146</v>
      </c>
      <c r="AA1" s="180"/>
      <c r="AB1" s="179" t="s">
        <v>147</v>
      </c>
      <c r="AC1" s="180"/>
      <c r="AD1" s="179" t="s">
        <v>148</v>
      </c>
      <c r="AE1" s="180"/>
      <c r="AF1" s="179" t="s">
        <v>149</v>
      </c>
    </row>
    <row r="2" spans="1:37" ht="15" thickTop="1">
      <c r="A2" s="182"/>
      <c r="B2" s="182" t="s">
        <v>150</v>
      </c>
      <c r="C2" s="182"/>
      <c r="D2" s="182"/>
      <c r="E2" s="182"/>
      <c r="F2" s="182"/>
      <c r="G2" s="182"/>
      <c r="H2" s="183"/>
      <c r="I2" s="184"/>
      <c r="J2" s="183"/>
      <c r="K2" s="184"/>
      <c r="L2" s="183"/>
      <c r="M2" s="184"/>
      <c r="N2" s="183"/>
      <c r="O2" s="184"/>
      <c r="P2" s="183"/>
      <c r="Q2" s="184"/>
      <c r="R2" s="183"/>
      <c r="S2" s="184"/>
      <c r="T2" s="183"/>
      <c r="U2" s="184"/>
      <c r="V2" s="183"/>
      <c r="W2" s="184"/>
      <c r="X2" s="183"/>
      <c r="Y2" s="184"/>
      <c r="Z2" s="183"/>
      <c r="AA2" s="184"/>
      <c r="AB2" s="183"/>
      <c r="AC2" s="184"/>
      <c r="AD2" s="183"/>
      <c r="AE2" s="184"/>
      <c r="AF2" s="183"/>
    </row>
    <row r="3" spans="1:37">
      <c r="A3" s="182"/>
      <c r="B3" s="182"/>
      <c r="C3" s="182"/>
      <c r="D3" s="182" t="s">
        <v>151</v>
      </c>
      <c r="E3" s="182"/>
      <c r="F3" s="182"/>
      <c r="G3" s="182"/>
      <c r="H3" s="183"/>
      <c r="I3" s="184"/>
      <c r="J3" s="183"/>
      <c r="K3" s="184"/>
      <c r="L3" s="183"/>
      <c r="M3" s="184"/>
      <c r="N3" s="183"/>
      <c r="O3" s="184"/>
      <c r="P3" s="183"/>
      <c r="Q3" s="184"/>
      <c r="R3" s="183"/>
      <c r="S3" s="184"/>
      <c r="T3" s="183"/>
      <c r="U3" s="184"/>
      <c r="V3" s="183"/>
      <c r="W3" s="184"/>
      <c r="X3" s="183"/>
      <c r="Y3" s="184"/>
      <c r="Z3" s="183"/>
      <c r="AA3" s="184"/>
      <c r="AB3" s="183"/>
      <c r="AC3" s="184"/>
      <c r="AD3" s="183"/>
      <c r="AE3" s="184"/>
      <c r="AF3" s="183"/>
    </row>
    <row r="4" spans="1:37">
      <c r="A4" s="182"/>
      <c r="B4" s="182"/>
      <c r="C4" s="182"/>
      <c r="D4" s="182"/>
      <c r="E4" s="182" t="s">
        <v>152</v>
      </c>
      <c r="F4" s="182"/>
      <c r="G4" s="182"/>
      <c r="H4" s="183">
        <v>1.17</v>
      </c>
      <c r="I4" s="184"/>
      <c r="J4" s="183">
        <v>0.95</v>
      </c>
      <c r="K4" s="184"/>
      <c r="L4" s="183">
        <v>0.57999999999999996</v>
      </c>
      <c r="M4" s="184"/>
      <c r="N4" s="183">
        <v>1.1100000000000001</v>
      </c>
      <c r="O4" s="184"/>
      <c r="P4" s="183">
        <v>0.99</v>
      </c>
      <c r="Q4" s="184"/>
      <c r="R4" s="183">
        <v>1.42</v>
      </c>
      <c r="S4" s="184"/>
      <c r="T4" s="183">
        <v>1.49</v>
      </c>
      <c r="U4" s="184"/>
      <c r="V4" s="183">
        <v>1.48</v>
      </c>
      <c r="W4" s="184"/>
      <c r="X4" s="183">
        <v>1.38</v>
      </c>
      <c r="Y4" s="184"/>
      <c r="Z4" s="183">
        <v>1.38</v>
      </c>
      <c r="AA4" s="184"/>
      <c r="AB4" s="183">
        <v>1.38</v>
      </c>
      <c r="AC4" s="184"/>
      <c r="AD4" s="183">
        <v>1.38</v>
      </c>
      <c r="AE4" s="184"/>
      <c r="AF4" s="183">
        <f>ROUND(SUM(H4:AD4),5)</f>
        <v>14.71</v>
      </c>
    </row>
    <row r="5" spans="1:37">
      <c r="A5" s="182"/>
      <c r="B5" s="182"/>
      <c r="C5" s="182"/>
      <c r="D5" s="182"/>
      <c r="E5" s="182" t="s">
        <v>153</v>
      </c>
      <c r="F5" s="182"/>
      <c r="G5" s="182"/>
      <c r="H5" s="183"/>
      <c r="I5" s="184"/>
      <c r="J5" s="183"/>
      <c r="K5" s="184"/>
      <c r="L5" s="183"/>
      <c r="M5" s="184"/>
      <c r="N5" s="183"/>
      <c r="O5" s="184"/>
      <c r="P5" s="183"/>
      <c r="Q5" s="184"/>
      <c r="R5" s="183"/>
      <c r="S5" s="184"/>
      <c r="T5" s="183"/>
      <c r="U5" s="184"/>
      <c r="V5" s="183"/>
      <c r="W5" s="184"/>
      <c r="X5" s="183"/>
      <c r="Y5" s="184"/>
      <c r="Z5" s="183"/>
      <c r="AA5" s="184"/>
      <c r="AB5" s="183"/>
      <c r="AC5" s="184"/>
      <c r="AD5" s="183"/>
      <c r="AE5" s="184"/>
      <c r="AF5" s="183"/>
    </row>
    <row r="6" spans="1:37">
      <c r="A6" s="182"/>
      <c r="B6" s="182"/>
      <c r="C6" s="182"/>
      <c r="D6" s="182"/>
      <c r="E6" s="182"/>
      <c r="F6" s="182" t="s">
        <v>154</v>
      </c>
      <c r="G6" s="182"/>
      <c r="H6" s="183">
        <v>0</v>
      </c>
      <c r="I6" s="184"/>
      <c r="J6" s="183">
        <v>0</v>
      </c>
      <c r="K6" s="184"/>
      <c r="L6" s="183">
        <v>0</v>
      </c>
      <c r="M6" s="184"/>
      <c r="N6" s="183">
        <v>0</v>
      </c>
      <c r="O6" s="184"/>
      <c r="P6" s="183">
        <v>0</v>
      </c>
      <c r="Q6" s="184"/>
      <c r="R6" s="183">
        <v>0</v>
      </c>
      <c r="S6" s="184"/>
      <c r="T6" s="183">
        <v>0</v>
      </c>
      <c r="U6" s="184"/>
      <c r="V6" s="183">
        <v>1359.35</v>
      </c>
      <c r="W6" s="184"/>
      <c r="X6" s="183">
        <v>0</v>
      </c>
      <c r="Y6" s="184"/>
      <c r="Z6" s="183">
        <f>225+3794</f>
        <v>4019</v>
      </c>
      <c r="AA6" s="184"/>
      <c r="AB6" s="183">
        <v>1600</v>
      </c>
      <c r="AC6" s="184"/>
      <c r="AD6" s="183">
        <v>0</v>
      </c>
      <c r="AE6" s="184"/>
      <c r="AF6" s="183">
        <f>ROUND(SUM(H6:AD6),5)</f>
        <v>6978.35</v>
      </c>
    </row>
    <row r="7" spans="1:37" ht="15" thickBot="1">
      <c r="A7" s="182"/>
      <c r="B7" s="182"/>
      <c r="C7" s="182"/>
      <c r="D7" s="182"/>
      <c r="E7" s="182"/>
      <c r="F7" s="182" t="s">
        <v>155</v>
      </c>
      <c r="G7" s="182"/>
      <c r="H7" s="185">
        <v>431.84</v>
      </c>
      <c r="I7" s="184"/>
      <c r="J7" s="185">
        <v>0</v>
      </c>
      <c r="K7" s="184"/>
      <c r="L7" s="185">
        <v>12712.71</v>
      </c>
      <c r="M7" s="184"/>
      <c r="N7" s="185">
        <v>0</v>
      </c>
      <c r="O7" s="184"/>
      <c r="P7" s="185">
        <v>766.46</v>
      </c>
      <c r="Q7" s="184"/>
      <c r="R7" s="185">
        <v>0.01</v>
      </c>
      <c r="S7" s="184"/>
      <c r="T7" s="185">
        <v>24735.599999999999</v>
      </c>
      <c r="U7" s="184"/>
      <c r="V7" s="185">
        <v>22327.49</v>
      </c>
      <c r="W7" s="184"/>
      <c r="X7" s="185">
        <v>339.39</v>
      </c>
      <c r="Y7" s="184"/>
      <c r="Z7" s="185">
        <v>0</v>
      </c>
      <c r="AA7" s="184"/>
      <c r="AB7" s="185">
        <v>0</v>
      </c>
      <c r="AC7" s="184"/>
      <c r="AD7" s="185">
        <v>0</v>
      </c>
      <c r="AE7" s="184"/>
      <c r="AF7" s="185">
        <f>ROUND(SUM(H7:AD7),5)</f>
        <v>61313.5</v>
      </c>
    </row>
    <row r="8" spans="1:37">
      <c r="A8" s="182"/>
      <c r="B8" s="182"/>
      <c r="C8" s="182"/>
      <c r="D8" s="182"/>
      <c r="E8" s="182" t="s">
        <v>156</v>
      </c>
      <c r="F8" s="182"/>
      <c r="G8" s="182"/>
      <c r="H8" s="183">
        <f>ROUND(SUM(H5:H7),5)</f>
        <v>431.84</v>
      </c>
      <c r="I8" s="184"/>
      <c r="J8" s="183">
        <f>ROUND(SUM(J5:J7),5)</f>
        <v>0</v>
      </c>
      <c r="K8" s="184"/>
      <c r="L8" s="183">
        <f>ROUND(SUM(L5:L7),5)</f>
        <v>12712.71</v>
      </c>
      <c r="M8" s="184"/>
      <c r="N8" s="183">
        <f>ROUND(SUM(N5:N7),5)</f>
        <v>0</v>
      </c>
      <c r="O8" s="184"/>
      <c r="P8" s="183">
        <f>ROUND(SUM(P5:P7),5)</f>
        <v>766.46</v>
      </c>
      <c r="Q8" s="184"/>
      <c r="R8" s="183">
        <f>ROUND(SUM(R5:R7),5)</f>
        <v>0.01</v>
      </c>
      <c r="S8" s="184"/>
      <c r="T8" s="183">
        <f>ROUND(SUM(T5:T7),5)</f>
        <v>24735.599999999999</v>
      </c>
      <c r="U8" s="184"/>
      <c r="V8" s="183">
        <f>ROUND(SUM(V5:V7),5)</f>
        <v>23686.84</v>
      </c>
      <c r="W8" s="184"/>
      <c r="X8" s="183">
        <f>ROUND(SUM(X5:X7),5)</f>
        <v>339.39</v>
      </c>
      <c r="Y8" s="184"/>
      <c r="Z8" s="183">
        <f>ROUND(SUM(Z5:Z7),5)</f>
        <v>4019</v>
      </c>
      <c r="AA8" s="184"/>
      <c r="AB8" s="183">
        <f>ROUND(SUM(AB5:AB7),5)</f>
        <v>1600</v>
      </c>
      <c r="AC8" s="184"/>
      <c r="AD8" s="183">
        <f>ROUND(SUM(AD5:AD7),5)</f>
        <v>0</v>
      </c>
      <c r="AE8" s="184"/>
      <c r="AF8" s="183">
        <f>ROUND(SUM(H8:AD8),5)</f>
        <v>68291.850000000006</v>
      </c>
    </row>
    <row r="9" spans="1:37">
      <c r="A9" s="182"/>
      <c r="B9" s="182"/>
      <c r="C9" s="182"/>
      <c r="D9" s="182"/>
      <c r="E9" s="182" t="s">
        <v>157</v>
      </c>
      <c r="F9" s="182"/>
      <c r="G9" s="182"/>
      <c r="H9" s="183"/>
      <c r="I9" s="184"/>
      <c r="J9" s="183"/>
      <c r="K9" s="184"/>
      <c r="L9" s="183"/>
      <c r="M9" s="184"/>
      <c r="N9" s="183"/>
      <c r="O9" s="184"/>
      <c r="P9" s="183"/>
      <c r="Q9" s="184"/>
      <c r="R9" s="183"/>
      <c r="S9" s="184"/>
      <c r="T9" s="183"/>
      <c r="U9" s="184"/>
      <c r="V9" s="183"/>
      <c r="W9" s="184"/>
      <c r="X9" s="183"/>
      <c r="Y9" s="184"/>
      <c r="Z9" s="183"/>
      <c r="AA9" s="184"/>
      <c r="AB9" s="183"/>
      <c r="AC9" s="184"/>
      <c r="AD9" s="183"/>
      <c r="AE9" s="184"/>
      <c r="AF9" s="183"/>
    </row>
    <row r="10" spans="1:37">
      <c r="A10" s="182"/>
      <c r="B10" s="182"/>
      <c r="C10" s="182"/>
      <c r="D10" s="182"/>
      <c r="E10" s="182"/>
      <c r="F10" s="182" t="s">
        <v>158</v>
      </c>
      <c r="G10" s="182"/>
      <c r="H10" s="183">
        <v>97427.67</v>
      </c>
      <c r="I10" s="184"/>
      <c r="J10" s="183">
        <v>96924.77</v>
      </c>
      <c r="K10" s="184"/>
      <c r="L10" s="183">
        <v>94322.36</v>
      </c>
      <c r="M10" s="184"/>
      <c r="N10" s="183">
        <v>143248.60999999999</v>
      </c>
      <c r="O10" s="184"/>
      <c r="P10" s="183">
        <v>106787.12</v>
      </c>
      <c r="Q10" s="184"/>
      <c r="R10" s="183">
        <v>116743.57</v>
      </c>
      <c r="S10" s="184"/>
      <c r="T10" s="183">
        <v>107818.24000000001</v>
      </c>
      <c r="U10" s="184"/>
      <c r="V10" s="183">
        <v>102290.43</v>
      </c>
      <c r="W10" s="184"/>
      <c r="X10" s="183">
        <v>106275.97</v>
      </c>
      <c r="Y10" s="184"/>
      <c r="Z10" s="183">
        <v>106341.82</v>
      </c>
      <c r="AA10" s="184"/>
      <c r="AB10" s="183">
        <f>106341.82+869.02</f>
        <v>107210.84000000001</v>
      </c>
      <c r="AC10" s="184"/>
      <c r="AD10" s="183">
        <f>106341.82+869.02</f>
        <v>107210.84000000001</v>
      </c>
      <c r="AE10" s="184"/>
      <c r="AF10" s="183">
        <f>ROUND(SUM(H10:AD10),5)</f>
        <v>1292602.24</v>
      </c>
      <c r="AJ10" s="103"/>
    </row>
    <row r="11" spans="1:37">
      <c r="A11" s="182"/>
      <c r="B11" s="182"/>
      <c r="C11" s="182"/>
      <c r="D11" s="182"/>
      <c r="E11" s="182"/>
      <c r="F11" s="182" t="s">
        <v>159</v>
      </c>
      <c r="G11" s="182"/>
      <c r="H11" s="183">
        <v>0</v>
      </c>
      <c r="I11" s="184"/>
      <c r="J11" s="183">
        <v>0</v>
      </c>
      <c r="K11" s="184"/>
      <c r="L11" s="183">
        <v>0</v>
      </c>
      <c r="M11" s="184"/>
      <c r="N11" s="183">
        <v>0</v>
      </c>
      <c r="O11" s="184"/>
      <c r="P11" s="183">
        <v>0</v>
      </c>
      <c r="Q11" s="184"/>
      <c r="R11" s="183">
        <v>4553.63</v>
      </c>
      <c r="S11" s="184"/>
      <c r="T11" s="183">
        <v>0</v>
      </c>
      <c r="U11" s="184"/>
      <c r="V11" s="183">
        <v>0</v>
      </c>
      <c r="W11" s="184"/>
      <c r="X11" s="183">
        <v>0</v>
      </c>
      <c r="Y11" s="184"/>
      <c r="Z11" s="183">
        <v>0</v>
      </c>
      <c r="AA11" s="184"/>
      <c r="AB11" s="183">
        <v>0</v>
      </c>
      <c r="AC11" s="184"/>
      <c r="AD11" s="183">
        <v>0</v>
      </c>
      <c r="AE11" s="184"/>
      <c r="AF11" s="183">
        <f>ROUND(SUM(H11:AD11),5)</f>
        <v>4553.63</v>
      </c>
    </row>
    <row r="12" spans="1:37" ht="15" thickBot="1">
      <c r="A12" s="182"/>
      <c r="B12" s="182"/>
      <c r="C12" s="182"/>
      <c r="D12" s="182"/>
      <c r="E12" s="182"/>
      <c r="F12" s="182" t="s">
        <v>160</v>
      </c>
      <c r="G12" s="182"/>
      <c r="H12" s="185">
        <v>6268.64</v>
      </c>
      <c r="I12" s="184"/>
      <c r="J12" s="185">
        <v>19280</v>
      </c>
      <c r="K12" s="184"/>
      <c r="L12" s="185">
        <v>12774.33</v>
      </c>
      <c r="M12" s="184"/>
      <c r="N12" s="185">
        <v>11399.32</v>
      </c>
      <c r="O12" s="184"/>
      <c r="P12" s="185">
        <v>10897.69</v>
      </c>
      <c r="Q12" s="184"/>
      <c r="R12" s="185">
        <v>11122.81</v>
      </c>
      <c r="S12" s="184"/>
      <c r="T12" s="185">
        <v>11026.53</v>
      </c>
      <c r="U12" s="184"/>
      <c r="V12" s="185">
        <v>10688.53</v>
      </c>
      <c r="W12" s="184"/>
      <c r="X12" s="185">
        <v>10913.15</v>
      </c>
      <c r="Y12" s="184"/>
      <c r="Z12" s="185">
        <v>10957.71</v>
      </c>
      <c r="AA12" s="184"/>
      <c r="AB12" s="185">
        <v>10957.71</v>
      </c>
      <c r="AC12" s="184"/>
      <c r="AD12" s="185">
        <v>10957.71</v>
      </c>
      <c r="AE12" s="184"/>
      <c r="AF12" s="185">
        <f>ROUND(SUM(H12:AD12),5)</f>
        <v>137244.13</v>
      </c>
      <c r="AJ12" s="103"/>
      <c r="AK12" s="193"/>
    </row>
    <row r="13" spans="1:37">
      <c r="A13" s="182"/>
      <c r="B13" s="182"/>
      <c r="C13" s="182"/>
      <c r="D13" s="182"/>
      <c r="E13" s="182" t="s">
        <v>161</v>
      </c>
      <c r="F13" s="182"/>
      <c r="G13" s="182"/>
      <c r="H13" s="183">
        <f>ROUND(SUM(H9:H12),5)</f>
        <v>103696.31</v>
      </c>
      <c r="I13" s="184"/>
      <c r="J13" s="183">
        <f>ROUND(SUM(J9:J12),5)</f>
        <v>116204.77</v>
      </c>
      <c r="K13" s="184"/>
      <c r="L13" s="183">
        <f>ROUND(SUM(L9:L12),5)</f>
        <v>107096.69</v>
      </c>
      <c r="M13" s="184"/>
      <c r="N13" s="183">
        <f>ROUND(SUM(N9:N12),5)</f>
        <v>154647.93</v>
      </c>
      <c r="O13" s="184"/>
      <c r="P13" s="183">
        <f>ROUND(SUM(P9:P12),5)</f>
        <v>117684.81</v>
      </c>
      <c r="Q13" s="184"/>
      <c r="R13" s="183">
        <f>ROUND(SUM(R9:R12),5)</f>
        <v>132420.01</v>
      </c>
      <c r="S13" s="184"/>
      <c r="T13" s="183">
        <f>ROUND(SUM(T9:T12),5)</f>
        <v>118844.77</v>
      </c>
      <c r="U13" s="184"/>
      <c r="V13" s="183">
        <f>ROUND(SUM(V9:V12),5)</f>
        <v>112978.96</v>
      </c>
      <c r="W13" s="184"/>
      <c r="X13" s="183">
        <f>ROUND(SUM(X9:X12),5)</f>
        <v>117189.12</v>
      </c>
      <c r="Y13" s="184"/>
      <c r="Z13" s="183">
        <f>ROUND(SUM(Z9:Z12),5)</f>
        <v>117299.53</v>
      </c>
      <c r="AA13" s="184"/>
      <c r="AB13" s="183">
        <f>ROUND(SUM(AB9:AB12),5)</f>
        <v>118168.55</v>
      </c>
      <c r="AC13" s="184"/>
      <c r="AD13" s="183">
        <f>ROUND(SUM(AD9:AD12),5)</f>
        <v>118168.55</v>
      </c>
      <c r="AE13" s="184"/>
      <c r="AF13" s="183">
        <f>ROUND(SUM(H13:AD13),5)</f>
        <v>1434400</v>
      </c>
      <c r="AK13" s="103"/>
    </row>
    <row r="14" spans="1:37">
      <c r="A14" s="182"/>
      <c r="B14" s="182"/>
      <c r="C14" s="182"/>
      <c r="D14" s="182"/>
      <c r="E14" s="182" t="s">
        <v>162</v>
      </c>
      <c r="F14" s="182"/>
      <c r="G14" s="182"/>
      <c r="H14" s="183"/>
      <c r="I14" s="184"/>
      <c r="J14" s="183"/>
      <c r="K14" s="184"/>
      <c r="L14" s="183"/>
      <c r="M14" s="184"/>
      <c r="N14" s="183"/>
      <c r="O14" s="184"/>
      <c r="P14" s="183"/>
      <c r="Q14" s="184"/>
      <c r="R14" s="183"/>
      <c r="S14" s="184"/>
      <c r="T14" s="183"/>
      <c r="U14" s="184"/>
      <c r="V14" s="183"/>
      <c r="W14" s="184"/>
      <c r="X14" s="183"/>
      <c r="Y14" s="184"/>
      <c r="Z14" s="183"/>
      <c r="AA14" s="184"/>
      <c r="AB14" s="183"/>
      <c r="AC14" s="184"/>
      <c r="AD14" s="183"/>
      <c r="AE14" s="184"/>
      <c r="AF14" s="183"/>
      <c r="AK14" s="192"/>
    </row>
    <row r="15" spans="1:37">
      <c r="A15" s="182"/>
      <c r="B15" s="182"/>
      <c r="C15" s="182"/>
      <c r="D15" s="182"/>
      <c r="E15" s="182"/>
      <c r="F15" s="182" t="s">
        <v>163</v>
      </c>
      <c r="G15" s="182"/>
      <c r="H15" s="183">
        <v>18489.3</v>
      </c>
      <c r="I15" s="184"/>
      <c r="J15" s="183">
        <v>18433.68</v>
      </c>
      <c r="K15" s="184"/>
      <c r="L15" s="183">
        <v>18420.099999999999</v>
      </c>
      <c r="M15" s="184"/>
      <c r="N15" s="183">
        <v>27903.83</v>
      </c>
      <c r="O15" s="184"/>
      <c r="P15" s="183">
        <v>17317.46</v>
      </c>
      <c r="Q15" s="184"/>
      <c r="R15" s="183">
        <v>15805.45</v>
      </c>
      <c r="S15" s="184"/>
      <c r="T15" s="183">
        <v>14814.47</v>
      </c>
      <c r="U15" s="184"/>
      <c r="V15" s="183">
        <v>13799.41</v>
      </c>
      <c r="W15" s="184"/>
      <c r="X15" s="183">
        <v>13794.58</v>
      </c>
      <c r="Y15" s="184"/>
      <c r="Z15" s="183">
        <v>13338.54</v>
      </c>
      <c r="AA15" s="184"/>
      <c r="AB15" s="183">
        <f>26677.09/2</f>
        <v>13338.545</v>
      </c>
      <c r="AC15" s="184"/>
      <c r="AD15" s="183">
        <v>13338.55</v>
      </c>
      <c r="AE15" s="184"/>
      <c r="AF15" s="183">
        <f>ROUND(SUM(H15:AD15),5)</f>
        <v>198793.91500000001</v>
      </c>
    </row>
    <row r="16" spans="1:37">
      <c r="A16" s="182"/>
      <c r="B16" s="182"/>
      <c r="C16" s="182"/>
      <c r="D16" s="182"/>
      <c r="E16" s="182"/>
      <c r="F16" s="182" t="s">
        <v>164</v>
      </c>
      <c r="G16" s="182"/>
      <c r="H16" s="183">
        <v>4808.88</v>
      </c>
      <c r="I16" s="184"/>
      <c r="J16" s="183">
        <v>4808.88</v>
      </c>
      <c r="K16" s="184"/>
      <c r="L16" s="183">
        <v>4808.88</v>
      </c>
      <c r="M16" s="184"/>
      <c r="N16" s="183">
        <v>5437.54</v>
      </c>
      <c r="O16" s="184"/>
      <c r="P16" s="183">
        <v>4845.43</v>
      </c>
      <c r="Q16" s="184"/>
      <c r="R16" s="183">
        <v>4933.8500000000004</v>
      </c>
      <c r="S16" s="184"/>
      <c r="T16" s="183">
        <v>4889.32</v>
      </c>
      <c r="U16" s="184"/>
      <c r="V16" s="183">
        <v>4722.5</v>
      </c>
      <c r="W16" s="184"/>
      <c r="X16" s="183">
        <v>4814.33</v>
      </c>
      <c r="Y16" s="184"/>
      <c r="Z16" s="183">
        <v>4817.3500000000004</v>
      </c>
      <c r="AA16" s="184"/>
      <c r="AB16" s="183">
        <f>9634.71/2</f>
        <v>4817.3549999999996</v>
      </c>
      <c r="AC16" s="184"/>
      <c r="AD16" s="183">
        <v>4817.3599999999997</v>
      </c>
      <c r="AE16" s="184"/>
      <c r="AF16" s="183">
        <f>ROUND(SUM(H16:AD16),5)</f>
        <v>58521.675000000003</v>
      </c>
    </row>
    <row r="17" spans="1:36" ht="15" thickBot="1">
      <c r="A17" s="182"/>
      <c r="B17" s="182"/>
      <c r="C17" s="182"/>
      <c r="D17" s="182"/>
      <c r="E17" s="182"/>
      <c r="F17" s="182" t="s">
        <v>165</v>
      </c>
      <c r="G17" s="182"/>
      <c r="H17" s="185">
        <v>0</v>
      </c>
      <c r="I17" s="184"/>
      <c r="J17" s="185">
        <v>0</v>
      </c>
      <c r="K17" s="184"/>
      <c r="L17" s="185">
        <v>0</v>
      </c>
      <c r="M17" s="184"/>
      <c r="N17" s="185">
        <v>419.28</v>
      </c>
      <c r="O17" s="184"/>
      <c r="P17" s="185">
        <v>0</v>
      </c>
      <c r="Q17" s="184"/>
      <c r="R17" s="185">
        <v>0</v>
      </c>
      <c r="S17" s="184"/>
      <c r="T17" s="185">
        <v>0</v>
      </c>
      <c r="U17" s="184"/>
      <c r="V17" s="185">
        <v>8533.32</v>
      </c>
      <c r="W17" s="184"/>
      <c r="X17" s="185">
        <v>0</v>
      </c>
      <c r="Y17" s="184"/>
      <c r="Z17" s="185">
        <v>11377.71</v>
      </c>
      <c r="AA17" s="184"/>
      <c r="AB17" s="185">
        <v>0</v>
      </c>
      <c r="AC17" s="184"/>
      <c r="AD17" s="185">
        <v>0</v>
      </c>
      <c r="AE17" s="184"/>
      <c r="AF17" s="185">
        <f>ROUND(SUM(H17:AD17),5)</f>
        <v>20330.310000000001</v>
      </c>
    </row>
    <row r="18" spans="1:36">
      <c r="A18" s="182"/>
      <c r="B18" s="182"/>
      <c r="C18" s="182"/>
      <c r="D18" s="182"/>
      <c r="E18" s="182" t="s">
        <v>166</v>
      </c>
      <c r="F18" s="182"/>
      <c r="G18" s="182"/>
      <c r="H18" s="183">
        <f>ROUND(SUM(H14:H17),5)</f>
        <v>23298.18</v>
      </c>
      <c r="I18" s="184"/>
      <c r="J18" s="183">
        <f>ROUND(SUM(J14:J17),5)</f>
        <v>23242.560000000001</v>
      </c>
      <c r="K18" s="184"/>
      <c r="L18" s="183">
        <f>ROUND(SUM(L14:L17),5)</f>
        <v>23228.98</v>
      </c>
      <c r="M18" s="184"/>
      <c r="N18" s="183">
        <f>ROUND(SUM(N14:N17),5)</f>
        <v>33760.65</v>
      </c>
      <c r="O18" s="184"/>
      <c r="P18" s="183">
        <f>ROUND(SUM(P14:P17),5)</f>
        <v>22162.89</v>
      </c>
      <c r="Q18" s="184"/>
      <c r="R18" s="183">
        <f>ROUND(SUM(R14:R17),5)</f>
        <v>20739.3</v>
      </c>
      <c r="S18" s="184"/>
      <c r="T18" s="183">
        <f>ROUND(SUM(T14:T17),5)</f>
        <v>19703.79</v>
      </c>
      <c r="U18" s="184"/>
      <c r="V18" s="183">
        <f>ROUND(SUM(V14:V17),5)</f>
        <v>27055.23</v>
      </c>
      <c r="W18" s="184"/>
      <c r="X18" s="183">
        <f>ROUND(SUM(X14:X17),5)</f>
        <v>18608.91</v>
      </c>
      <c r="Y18" s="184"/>
      <c r="Z18" s="183">
        <f>ROUND(SUM(Z14:Z17),5)</f>
        <v>29533.599999999999</v>
      </c>
      <c r="AA18" s="184"/>
      <c r="AB18" s="183">
        <f>ROUND(SUM(AB14:AB17),5)</f>
        <v>18155.900000000001</v>
      </c>
      <c r="AC18" s="184"/>
      <c r="AD18" s="183">
        <f>ROUND(SUM(AD14:AD17),5)</f>
        <v>18155.91</v>
      </c>
      <c r="AE18" s="184"/>
      <c r="AF18" s="183">
        <f>ROUND(SUM(H18:AD18),5)</f>
        <v>277645.90000000002</v>
      </c>
    </row>
    <row r="19" spans="1:36">
      <c r="A19" s="182"/>
      <c r="B19" s="182"/>
      <c r="C19" s="182"/>
      <c r="D19" s="182"/>
      <c r="E19" s="182" t="s">
        <v>167</v>
      </c>
      <c r="F19" s="182"/>
      <c r="G19" s="182"/>
      <c r="H19" s="183"/>
      <c r="I19" s="184"/>
      <c r="J19" s="183"/>
      <c r="K19" s="184"/>
      <c r="L19" s="183"/>
      <c r="M19" s="184"/>
      <c r="N19" s="183"/>
      <c r="O19" s="184"/>
      <c r="P19" s="183"/>
      <c r="Q19" s="184"/>
      <c r="R19" s="183"/>
      <c r="S19" s="184"/>
      <c r="T19" s="183"/>
      <c r="U19" s="184"/>
      <c r="V19" s="183"/>
      <c r="W19" s="184"/>
      <c r="X19" s="183"/>
      <c r="Y19" s="184"/>
      <c r="Z19" s="183"/>
      <c r="AA19" s="184"/>
      <c r="AB19" s="183"/>
      <c r="AC19" s="184"/>
      <c r="AD19" s="183"/>
      <c r="AE19" s="184"/>
      <c r="AF19" s="183"/>
    </row>
    <row r="20" spans="1:36" ht="15" thickBot="1">
      <c r="A20" s="182"/>
      <c r="B20" s="182"/>
      <c r="C20" s="182"/>
      <c r="D20" s="182"/>
      <c r="E20" s="182"/>
      <c r="F20" s="182" t="s">
        <v>168</v>
      </c>
      <c r="G20" s="182"/>
      <c r="H20" s="185">
        <v>1417.19</v>
      </c>
      <c r="I20" s="184"/>
      <c r="J20" s="185">
        <v>84147.520000000004</v>
      </c>
      <c r="K20" s="184"/>
      <c r="L20" s="185">
        <v>155926.19</v>
      </c>
      <c r="M20" s="184"/>
      <c r="N20" s="185">
        <v>141340.39000000001</v>
      </c>
      <c r="O20" s="184"/>
      <c r="P20" s="185">
        <v>143083.79999999999</v>
      </c>
      <c r="Q20" s="184"/>
      <c r="R20" s="185">
        <v>116610.31</v>
      </c>
      <c r="S20" s="184"/>
      <c r="T20" s="185">
        <v>80890.7</v>
      </c>
      <c r="U20" s="184"/>
      <c r="V20" s="185">
        <v>78269.210000000006</v>
      </c>
      <c r="W20" s="184"/>
      <c r="X20" s="185">
        <v>43958.46</v>
      </c>
      <c r="Y20" s="184"/>
      <c r="Z20" s="185">
        <f>48000+90000</f>
        <v>138000</v>
      </c>
      <c r="AA20" s="184"/>
      <c r="AB20" s="185">
        <v>90000</v>
      </c>
      <c r="AC20" s="184"/>
      <c r="AD20" s="185">
        <f>80000+16500</f>
        <v>96500</v>
      </c>
      <c r="AE20" s="184"/>
      <c r="AF20" s="185">
        <f>ROUND(SUM(H20:AD20),5)</f>
        <v>1170143.77</v>
      </c>
    </row>
    <row r="21" spans="1:36">
      <c r="A21" s="182"/>
      <c r="B21" s="182"/>
      <c r="C21" s="182"/>
      <c r="D21" s="182"/>
      <c r="E21" s="182" t="s">
        <v>169</v>
      </c>
      <c r="F21" s="182"/>
      <c r="G21" s="182"/>
      <c r="H21" s="183">
        <f>ROUND(SUM(H19:H20),5)</f>
        <v>1417.19</v>
      </c>
      <c r="I21" s="184"/>
      <c r="J21" s="183">
        <f>ROUND(SUM(J19:J20),5)</f>
        <v>84147.520000000004</v>
      </c>
      <c r="K21" s="184"/>
      <c r="L21" s="183">
        <f>ROUND(SUM(L19:L20),5)</f>
        <v>155926.19</v>
      </c>
      <c r="M21" s="184"/>
      <c r="N21" s="183">
        <f>ROUND(SUM(N19:N20),5)</f>
        <v>141340.39000000001</v>
      </c>
      <c r="O21" s="184"/>
      <c r="P21" s="183">
        <f>ROUND(SUM(P19:P20),5)</f>
        <v>143083.79999999999</v>
      </c>
      <c r="Q21" s="184"/>
      <c r="R21" s="183">
        <f>ROUND(SUM(R19:R20),5)</f>
        <v>116610.31</v>
      </c>
      <c r="S21" s="184"/>
      <c r="T21" s="183">
        <f>ROUND(SUM(T19:T20),5)</f>
        <v>80890.7</v>
      </c>
      <c r="U21" s="184"/>
      <c r="V21" s="183">
        <f>ROUND(SUM(V19:V20),5)</f>
        <v>78269.210000000006</v>
      </c>
      <c r="W21" s="184"/>
      <c r="X21" s="183">
        <f>ROUND(SUM(X19:X20),5)</f>
        <v>43958.46</v>
      </c>
      <c r="Y21" s="184"/>
      <c r="Z21" s="183">
        <f>ROUND(SUM(Z19:Z20),5)</f>
        <v>138000</v>
      </c>
      <c r="AA21" s="184"/>
      <c r="AB21" s="183">
        <f>ROUND(SUM(AB19:AB20),5)</f>
        <v>90000</v>
      </c>
      <c r="AC21" s="184"/>
      <c r="AD21" s="183">
        <f>ROUND(SUM(AD19:AD20),5)</f>
        <v>96500</v>
      </c>
      <c r="AE21" s="184"/>
      <c r="AF21" s="183">
        <f>ROUND(SUM(H21:AD21),5)</f>
        <v>1170143.77</v>
      </c>
    </row>
    <row r="22" spans="1:36" ht="15" thickBot="1">
      <c r="A22" s="182"/>
      <c r="B22" s="182"/>
      <c r="C22" s="182"/>
      <c r="D22" s="182"/>
      <c r="E22" s="182" t="s">
        <v>170</v>
      </c>
      <c r="F22" s="182"/>
      <c r="G22" s="182"/>
      <c r="H22" s="183">
        <v>9524.5</v>
      </c>
      <c r="I22" s="184"/>
      <c r="J22" s="183">
        <v>4069.97</v>
      </c>
      <c r="K22" s="184"/>
      <c r="L22" s="183">
        <v>0</v>
      </c>
      <c r="M22" s="184"/>
      <c r="N22" s="183">
        <v>0</v>
      </c>
      <c r="O22" s="184"/>
      <c r="P22" s="183">
        <v>0</v>
      </c>
      <c r="Q22" s="184"/>
      <c r="R22" s="183">
        <v>0</v>
      </c>
      <c r="S22" s="184"/>
      <c r="T22" s="183">
        <v>0</v>
      </c>
      <c r="U22" s="184"/>
      <c r="V22" s="183">
        <v>0</v>
      </c>
      <c r="W22" s="184"/>
      <c r="X22" s="183">
        <v>0</v>
      </c>
      <c r="Y22" s="184"/>
      <c r="Z22" s="183">
        <v>0</v>
      </c>
      <c r="AA22" s="184"/>
      <c r="AB22" s="183">
        <v>0</v>
      </c>
      <c r="AC22" s="184"/>
      <c r="AD22" s="183">
        <v>0</v>
      </c>
      <c r="AE22" s="184"/>
      <c r="AF22" s="183">
        <f>ROUND(SUM(H22:AD22),5)</f>
        <v>13594.47</v>
      </c>
    </row>
    <row r="23" spans="1:36" ht="15" thickBot="1">
      <c r="A23" s="182"/>
      <c r="B23" s="182"/>
      <c r="C23" s="182"/>
      <c r="D23" s="182" t="s">
        <v>171</v>
      </c>
      <c r="E23" s="182"/>
      <c r="F23" s="182"/>
      <c r="G23" s="182"/>
      <c r="H23" s="186">
        <f>ROUND(SUM(H3:H4)+H8+H13+H18+SUM(H21:H22),5)</f>
        <v>138369.19</v>
      </c>
      <c r="I23" s="184"/>
      <c r="J23" s="186">
        <f>ROUND(SUM(J3:J4)+J8+J13+J18+SUM(J21:J22),5)</f>
        <v>227665.77</v>
      </c>
      <c r="K23" s="184"/>
      <c r="L23" s="186">
        <f>ROUND(SUM(L3:L4)+L8+L13+L18+SUM(L21:L22),5)</f>
        <v>298965.15000000002</v>
      </c>
      <c r="M23" s="184"/>
      <c r="N23" s="186">
        <f>ROUND(SUM(N3:N4)+N8+N13+N18+SUM(N21:N22),5)</f>
        <v>329750.08</v>
      </c>
      <c r="O23" s="184"/>
      <c r="P23" s="186">
        <f>ROUND(SUM(P3:P4)+P8+P13+P18+SUM(P21:P22),5)</f>
        <v>283698.95</v>
      </c>
      <c r="Q23" s="184"/>
      <c r="R23" s="186">
        <f>ROUND(SUM(R3:R4)+R8+R13+R18+SUM(R21:R22),5)</f>
        <v>269771.05</v>
      </c>
      <c r="S23" s="184"/>
      <c r="T23" s="186">
        <f>ROUND(SUM(T3:T4)+T8+T13+T18+SUM(T21:T22),5)</f>
        <v>244176.35</v>
      </c>
      <c r="U23" s="184"/>
      <c r="V23" s="186">
        <f>ROUND(SUM(V3:V4)+V8+V13+V18+SUM(V21:V22),5)</f>
        <v>241991.72</v>
      </c>
      <c r="W23" s="184"/>
      <c r="X23" s="186">
        <f>ROUND(SUM(X3:X4)+X8+X13+X18+SUM(X21:X22),5)</f>
        <v>180097.26</v>
      </c>
      <c r="Y23" s="184"/>
      <c r="Z23" s="186">
        <f>ROUND(SUM(Z3:Z4)+Z8+Z13+Z18+SUM(Z21:Z22),5)</f>
        <v>288853.51</v>
      </c>
      <c r="AA23" s="184"/>
      <c r="AB23" s="186">
        <f>ROUND(SUM(AB3:AB4)+AB8+AB13+AB18+SUM(AB21:AB22),5)</f>
        <v>227925.83</v>
      </c>
      <c r="AC23" s="184"/>
      <c r="AD23" s="186">
        <f>ROUND(SUM(AD3:AD4)+AD8+AD13+AD18+SUM(AD21:AD22),5)</f>
        <v>232825.84</v>
      </c>
      <c r="AE23" s="184"/>
      <c r="AF23" s="186">
        <f>ROUND(SUM(H23:AD23),5)</f>
        <v>2964090.7</v>
      </c>
    </row>
    <row r="24" spans="1:36">
      <c r="A24" s="182"/>
      <c r="B24" s="182"/>
      <c r="C24" s="182" t="s">
        <v>172</v>
      </c>
      <c r="D24" s="182"/>
      <c r="E24" s="182"/>
      <c r="F24" s="182"/>
      <c r="G24" s="182"/>
      <c r="H24" s="183">
        <f>H23</f>
        <v>138369.19</v>
      </c>
      <c r="I24" s="184"/>
      <c r="J24" s="183">
        <f>J23</f>
        <v>227665.77</v>
      </c>
      <c r="K24" s="184"/>
      <c r="L24" s="183">
        <f>L23</f>
        <v>298965.15000000002</v>
      </c>
      <c r="M24" s="184"/>
      <c r="N24" s="183">
        <f>N23</f>
        <v>329750.08</v>
      </c>
      <c r="O24" s="184"/>
      <c r="P24" s="183">
        <f>P23</f>
        <v>283698.95</v>
      </c>
      <c r="Q24" s="184"/>
      <c r="R24" s="183">
        <f>R23</f>
        <v>269771.05</v>
      </c>
      <c r="S24" s="184"/>
      <c r="T24" s="183">
        <f>T23</f>
        <v>244176.35</v>
      </c>
      <c r="U24" s="184"/>
      <c r="V24" s="183">
        <f>V23</f>
        <v>241991.72</v>
      </c>
      <c r="W24" s="184"/>
      <c r="X24" s="183">
        <f>X23</f>
        <v>180097.26</v>
      </c>
      <c r="Y24" s="184"/>
      <c r="Z24" s="183">
        <f>Z23</f>
        <v>288853.51</v>
      </c>
      <c r="AA24" s="184"/>
      <c r="AB24" s="183">
        <f>AB23</f>
        <v>227925.83</v>
      </c>
      <c r="AC24" s="184"/>
      <c r="AD24" s="183">
        <f>AD23</f>
        <v>232825.84</v>
      </c>
      <c r="AE24" s="184"/>
      <c r="AF24" s="183">
        <f>ROUND(SUM(H24:AD24),5)</f>
        <v>2964090.7</v>
      </c>
    </row>
    <row r="25" spans="1:36">
      <c r="A25" s="182"/>
      <c r="B25" s="182"/>
      <c r="C25" s="182"/>
      <c r="D25" s="182" t="s">
        <v>173</v>
      </c>
      <c r="E25" s="182"/>
      <c r="F25" s="182"/>
      <c r="G25" s="182"/>
      <c r="H25" s="183"/>
      <c r="I25" s="184"/>
      <c r="J25" s="183"/>
      <c r="K25" s="184"/>
      <c r="L25" s="183"/>
      <c r="M25" s="184"/>
      <c r="N25" s="183"/>
      <c r="O25" s="184"/>
      <c r="P25" s="183"/>
      <c r="Q25" s="184"/>
      <c r="R25" s="183"/>
      <c r="S25" s="184"/>
      <c r="T25" s="183"/>
      <c r="U25" s="184"/>
      <c r="V25" s="183"/>
      <c r="W25" s="184"/>
      <c r="X25" s="183"/>
      <c r="Y25" s="184"/>
      <c r="Z25" s="183"/>
      <c r="AA25" s="184"/>
      <c r="AB25" s="183"/>
      <c r="AC25" s="184"/>
      <c r="AD25" s="183"/>
      <c r="AE25" s="184"/>
      <c r="AF25" s="183"/>
    </row>
    <row r="26" spans="1:36">
      <c r="A26" s="182"/>
      <c r="B26" s="182"/>
      <c r="C26" s="182"/>
      <c r="D26" s="182"/>
      <c r="E26" s="182" t="s">
        <v>174</v>
      </c>
      <c r="F26" s="182"/>
      <c r="G26" s="182"/>
      <c r="H26" s="183"/>
      <c r="I26" s="184"/>
      <c r="J26" s="183"/>
      <c r="K26" s="184"/>
      <c r="L26" s="183"/>
      <c r="M26" s="184"/>
      <c r="N26" s="183"/>
      <c r="O26" s="184"/>
      <c r="P26" s="183"/>
      <c r="Q26" s="184"/>
      <c r="R26" s="183"/>
      <c r="S26" s="184"/>
      <c r="T26" s="183"/>
      <c r="U26" s="184"/>
      <c r="V26" s="183"/>
      <c r="W26" s="184"/>
      <c r="X26" s="183"/>
      <c r="Y26" s="184"/>
      <c r="Z26" s="183"/>
      <c r="AA26" s="184"/>
      <c r="AB26" s="183"/>
      <c r="AC26" s="184"/>
      <c r="AD26" s="183"/>
      <c r="AE26" s="184"/>
      <c r="AF26" s="183"/>
      <c r="AJ26" s="192"/>
    </row>
    <row r="27" spans="1:36">
      <c r="A27" s="182"/>
      <c r="B27" s="182"/>
      <c r="C27" s="182"/>
      <c r="D27" s="182"/>
      <c r="E27" s="182"/>
      <c r="F27" s="182" t="s">
        <v>175</v>
      </c>
      <c r="G27" s="182"/>
      <c r="H27" s="183">
        <v>18000.62</v>
      </c>
      <c r="I27" s="184"/>
      <c r="J27" s="183">
        <v>22357.46</v>
      </c>
      <c r="K27" s="184"/>
      <c r="L27" s="183">
        <v>22357.46</v>
      </c>
      <c r="M27" s="184"/>
      <c r="N27" s="183">
        <v>22357.46</v>
      </c>
      <c r="O27" s="184"/>
      <c r="P27" s="183">
        <v>22357.46</v>
      </c>
      <c r="Q27" s="184"/>
      <c r="R27" s="183">
        <v>22357.46</v>
      </c>
      <c r="S27" s="184"/>
      <c r="T27" s="183">
        <v>22357.46</v>
      </c>
      <c r="U27" s="184"/>
      <c r="V27" s="183">
        <v>22357.46</v>
      </c>
      <c r="W27" s="184"/>
      <c r="X27" s="183">
        <v>22357.46</v>
      </c>
      <c r="Y27" s="184"/>
      <c r="Z27" s="183">
        <v>22357.46</v>
      </c>
      <c r="AA27" s="184"/>
      <c r="AB27" s="183">
        <v>22357.46</v>
      </c>
      <c r="AC27" s="184"/>
      <c r="AD27" s="183">
        <v>22357.46</v>
      </c>
      <c r="AE27" s="184"/>
      <c r="AF27" s="183">
        <f t="shared" ref="AF27:AF39" si="0">ROUND(SUM(H27:AD27),5)</f>
        <v>263932.68</v>
      </c>
    </row>
    <row r="28" spans="1:36">
      <c r="A28" s="182"/>
      <c r="B28" s="182"/>
      <c r="C28" s="182"/>
      <c r="D28" s="182"/>
      <c r="E28" s="182"/>
      <c r="F28" s="182" t="s">
        <v>176</v>
      </c>
      <c r="G28" s="182"/>
      <c r="H28" s="183">
        <v>12274.18</v>
      </c>
      <c r="I28" s="184"/>
      <c r="J28" s="183">
        <v>20500.02</v>
      </c>
      <c r="K28" s="184"/>
      <c r="L28" s="183">
        <v>20500.02</v>
      </c>
      <c r="M28" s="184"/>
      <c r="N28" s="183">
        <v>20500.02</v>
      </c>
      <c r="O28" s="184"/>
      <c r="P28" s="183">
        <v>19456.54</v>
      </c>
      <c r="Q28" s="184"/>
      <c r="R28" s="183">
        <v>17190.23</v>
      </c>
      <c r="S28" s="184"/>
      <c r="T28" s="183">
        <v>20500.02</v>
      </c>
      <c r="U28" s="184"/>
      <c r="V28" s="183">
        <v>20500.02</v>
      </c>
      <c r="W28" s="184"/>
      <c r="X28" s="183">
        <v>20500.02</v>
      </c>
      <c r="Y28" s="184"/>
      <c r="Z28" s="183">
        <v>20500.02</v>
      </c>
      <c r="AA28" s="184"/>
      <c r="AB28" s="183">
        <v>20500.02</v>
      </c>
      <c r="AC28" s="184"/>
      <c r="AD28" s="183">
        <v>20500.02</v>
      </c>
      <c r="AE28" s="184"/>
      <c r="AF28" s="183">
        <f t="shared" si="0"/>
        <v>233421.13</v>
      </c>
      <c r="AH28" s="194">
        <v>140513.34</v>
      </c>
    </row>
    <row r="29" spans="1:36">
      <c r="A29" s="182"/>
      <c r="B29" s="182"/>
      <c r="C29" s="182"/>
      <c r="D29" s="182"/>
      <c r="E29" s="182"/>
      <c r="F29" s="182" t="s">
        <v>177</v>
      </c>
      <c r="G29" s="182"/>
      <c r="H29" s="183">
        <v>13874.98</v>
      </c>
      <c r="I29" s="184"/>
      <c r="J29" s="183">
        <v>19891.580000000002</v>
      </c>
      <c r="K29" s="184"/>
      <c r="L29" s="183">
        <v>18016.580000000002</v>
      </c>
      <c r="M29" s="184"/>
      <c r="N29" s="183">
        <v>87516.58</v>
      </c>
      <c r="O29" s="184"/>
      <c r="P29" s="183">
        <v>19546.580000000002</v>
      </c>
      <c r="Q29" s="184"/>
      <c r="R29" s="183">
        <v>19561.580000000002</v>
      </c>
      <c r="S29" s="184"/>
      <c r="T29" s="183">
        <v>19241.580000000002</v>
      </c>
      <c r="U29" s="184"/>
      <c r="V29" s="183">
        <v>17445.93</v>
      </c>
      <c r="W29" s="184"/>
      <c r="X29" s="183">
        <v>15429.08</v>
      </c>
      <c r="Y29" s="184"/>
      <c r="Z29" s="183">
        <v>15429.08</v>
      </c>
      <c r="AA29" s="184"/>
      <c r="AB29" s="183">
        <v>15429.08</v>
      </c>
      <c r="AC29" s="184"/>
      <c r="AD29" s="183">
        <v>15429.08</v>
      </c>
      <c r="AE29" s="184"/>
      <c r="AF29" s="183">
        <f t="shared" si="0"/>
        <v>276811.71000000002</v>
      </c>
      <c r="AH29" s="194">
        <v>8980</v>
      </c>
    </row>
    <row r="30" spans="1:36">
      <c r="A30" s="182"/>
      <c r="B30" s="182"/>
      <c r="C30" s="182"/>
      <c r="D30" s="182"/>
      <c r="E30" s="182"/>
      <c r="F30" s="182" t="s">
        <v>178</v>
      </c>
      <c r="G30" s="182"/>
      <c r="H30" s="183">
        <v>7252.92</v>
      </c>
      <c r="I30" s="184"/>
      <c r="J30" s="183">
        <v>7213.16</v>
      </c>
      <c r="K30" s="184"/>
      <c r="L30" s="183">
        <v>7213.16</v>
      </c>
      <c r="M30" s="184"/>
      <c r="N30" s="183">
        <v>7213.16</v>
      </c>
      <c r="O30" s="184"/>
      <c r="P30" s="183">
        <v>7213.16</v>
      </c>
      <c r="Q30" s="184"/>
      <c r="R30" s="183">
        <v>7213.16</v>
      </c>
      <c r="S30" s="184"/>
      <c r="T30" s="183">
        <v>7213.16</v>
      </c>
      <c r="U30" s="184"/>
      <c r="V30" s="183">
        <v>7213.16</v>
      </c>
      <c r="W30" s="184"/>
      <c r="X30" s="183">
        <v>7213.16</v>
      </c>
      <c r="Y30" s="184"/>
      <c r="Z30" s="183">
        <v>7213.16</v>
      </c>
      <c r="AA30" s="184"/>
      <c r="AB30" s="183">
        <v>7213.16</v>
      </c>
      <c r="AC30" s="184"/>
      <c r="AD30" s="183">
        <v>7213.16</v>
      </c>
      <c r="AE30" s="184"/>
      <c r="AF30" s="183">
        <f t="shared" si="0"/>
        <v>86597.68</v>
      </c>
      <c r="AH30" s="194">
        <v>12857.93</v>
      </c>
    </row>
    <row r="31" spans="1:36">
      <c r="A31" s="182"/>
      <c r="B31" s="182"/>
      <c r="C31" s="182"/>
      <c r="D31" s="182"/>
      <c r="E31" s="182"/>
      <c r="F31" s="182" t="s">
        <v>179</v>
      </c>
      <c r="G31" s="182"/>
      <c r="H31" s="183">
        <v>7817.1</v>
      </c>
      <c r="I31" s="184"/>
      <c r="J31" s="183">
        <v>0</v>
      </c>
      <c r="K31" s="184"/>
      <c r="L31" s="183">
        <v>0</v>
      </c>
      <c r="M31" s="184"/>
      <c r="N31" s="183">
        <v>0</v>
      </c>
      <c r="O31" s="184"/>
      <c r="P31" s="183">
        <v>0</v>
      </c>
      <c r="Q31" s="184"/>
      <c r="R31" s="183">
        <v>0</v>
      </c>
      <c r="S31" s="184"/>
      <c r="T31" s="183">
        <v>0</v>
      </c>
      <c r="U31" s="184"/>
      <c r="V31" s="183">
        <v>0</v>
      </c>
      <c r="W31" s="184"/>
      <c r="X31" s="183">
        <v>0</v>
      </c>
      <c r="Y31" s="184"/>
      <c r="Z31" s="183">
        <v>0</v>
      </c>
      <c r="AA31" s="184"/>
      <c r="AB31" s="183">
        <v>0</v>
      </c>
      <c r="AC31" s="184"/>
      <c r="AD31" s="183">
        <v>0</v>
      </c>
      <c r="AE31" s="184"/>
      <c r="AF31" s="183">
        <f t="shared" si="0"/>
        <v>7817.1</v>
      </c>
      <c r="AH31" s="194">
        <v>34537.72</v>
      </c>
    </row>
    <row r="32" spans="1:36">
      <c r="A32" s="182"/>
      <c r="B32" s="182"/>
      <c r="C32" s="182"/>
      <c r="D32" s="182"/>
      <c r="E32" s="182"/>
      <c r="F32" s="182" t="s">
        <v>180</v>
      </c>
      <c r="G32" s="182"/>
      <c r="H32" s="183">
        <v>6240</v>
      </c>
      <c r="I32" s="184"/>
      <c r="J32" s="183">
        <v>6695</v>
      </c>
      <c r="K32" s="184"/>
      <c r="L32" s="183">
        <v>6695</v>
      </c>
      <c r="M32" s="184"/>
      <c r="N32" s="183">
        <v>6695</v>
      </c>
      <c r="O32" s="184"/>
      <c r="P32" s="183">
        <v>6695</v>
      </c>
      <c r="Q32" s="184"/>
      <c r="R32" s="183">
        <v>6695</v>
      </c>
      <c r="S32" s="184"/>
      <c r="T32" s="183">
        <v>6695</v>
      </c>
      <c r="U32" s="184"/>
      <c r="V32" s="183">
        <v>6695</v>
      </c>
      <c r="W32" s="184"/>
      <c r="X32" s="183">
        <v>6695</v>
      </c>
      <c r="Y32" s="184"/>
      <c r="Z32" s="183">
        <v>6695</v>
      </c>
      <c r="AA32" s="184"/>
      <c r="AB32" s="183">
        <v>6695</v>
      </c>
      <c r="AC32" s="184"/>
      <c r="AD32" s="183">
        <v>6695</v>
      </c>
      <c r="AE32" s="184"/>
      <c r="AF32" s="183">
        <f t="shared" si="0"/>
        <v>79885</v>
      </c>
      <c r="AH32" s="194">
        <v>548620.91</v>
      </c>
    </row>
    <row r="33" spans="1:34">
      <c r="A33" s="182"/>
      <c r="B33" s="182"/>
      <c r="C33" s="182"/>
      <c r="D33" s="182"/>
      <c r="E33" s="182"/>
      <c r="F33" s="182" t="s">
        <v>181</v>
      </c>
      <c r="G33" s="182"/>
      <c r="H33" s="183">
        <v>37408.080000000002</v>
      </c>
      <c r="I33" s="184"/>
      <c r="J33" s="183">
        <v>9414.68</v>
      </c>
      <c r="K33" s="184"/>
      <c r="L33" s="183">
        <v>9414.68</v>
      </c>
      <c r="M33" s="184"/>
      <c r="N33" s="183">
        <v>9414.68</v>
      </c>
      <c r="O33" s="184"/>
      <c r="P33" s="183">
        <v>9414.68</v>
      </c>
      <c r="Q33" s="184"/>
      <c r="R33" s="183">
        <v>7749.01</v>
      </c>
      <c r="S33" s="184"/>
      <c r="T33" s="183">
        <v>8583.34</v>
      </c>
      <c r="U33" s="184"/>
      <c r="V33" s="183">
        <v>6083.34</v>
      </c>
      <c r="W33" s="184"/>
      <c r="X33" s="183">
        <v>6083.34</v>
      </c>
      <c r="Y33" s="184"/>
      <c r="Z33" s="183">
        <v>6083.34</v>
      </c>
      <c r="AA33" s="184"/>
      <c r="AB33" s="183">
        <v>6083.34</v>
      </c>
      <c r="AC33" s="184"/>
      <c r="AD33" s="183">
        <v>6083.34</v>
      </c>
      <c r="AE33" s="184"/>
      <c r="AF33" s="183">
        <f t="shared" si="0"/>
        <v>121815.85</v>
      </c>
      <c r="AH33" s="194">
        <v>54975.44</v>
      </c>
    </row>
    <row r="34" spans="1:34">
      <c r="A34" s="182"/>
      <c r="B34" s="182"/>
      <c r="C34" s="182"/>
      <c r="D34" s="182"/>
      <c r="E34" s="182"/>
      <c r="F34" s="182" t="s">
        <v>182</v>
      </c>
      <c r="G34" s="182"/>
      <c r="H34" s="183">
        <v>0</v>
      </c>
      <c r="I34" s="184"/>
      <c r="J34" s="183">
        <v>0</v>
      </c>
      <c r="K34" s="184"/>
      <c r="L34" s="183">
        <v>0</v>
      </c>
      <c r="M34" s="184"/>
      <c r="N34" s="183">
        <v>0</v>
      </c>
      <c r="O34" s="184"/>
      <c r="P34" s="183">
        <v>0</v>
      </c>
      <c r="Q34" s="184"/>
      <c r="R34" s="183">
        <v>0</v>
      </c>
      <c r="S34" s="184"/>
      <c r="T34" s="183">
        <v>0</v>
      </c>
      <c r="U34" s="184"/>
      <c r="V34" s="183">
        <v>0</v>
      </c>
      <c r="W34" s="184"/>
      <c r="X34" s="183">
        <v>0</v>
      </c>
      <c r="Y34" s="184"/>
      <c r="Z34" s="183">
        <v>0</v>
      </c>
      <c r="AA34" s="184"/>
      <c r="AB34" s="183">
        <v>0</v>
      </c>
      <c r="AC34" s="184"/>
      <c r="AD34" s="183">
        <v>0</v>
      </c>
      <c r="AE34" s="184"/>
      <c r="AF34" s="183">
        <f t="shared" si="0"/>
        <v>0</v>
      </c>
      <c r="AH34" s="194">
        <v>68429.210000000006</v>
      </c>
    </row>
    <row r="35" spans="1:34">
      <c r="A35" s="182"/>
      <c r="B35" s="182"/>
      <c r="C35" s="182"/>
      <c r="D35" s="182"/>
      <c r="E35" s="182"/>
      <c r="F35" s="182" t="s">
        <v>183</v>
      </c>
      <c r="G35" s="182"/>
      <c r="H35" s="183">
        <v>15523.34</v>
      </c>
      <c r="I35" s="184"/>
      <c r="J35" s="183">
        <v>18551.38</v>
      </c>
      <c r="K35" s="184"/>
      <c r="L35" s="183">
        <v>18551.38</v>
      </c>
      <c r="M35" s="184"/>
      <c r="N35" s="183">
        <v>18551.38</v>
      </c>
      <c r="O35" s="184"/>
      <c r="P35" s="183">
        <v>18551.38</v>
      </c>
      <c r="Q35" s="184"/>
      <c r="R35" s="183">
        <v>23575.599999999999</v>
      </c>
      <c r="S35" s="184"/>
      <c r="T35" s="183">
        <v>21384.38</v>
      </c>
      <c r="U35" s="184"/>
      <c r="V35" s="183">
        <v>20384.38</v>
      </c>
      <c r="W35" s="184"/>
      <c r="X35" s="183">
        <v>19551.38</v>
      </c>
      <c r="Y35" s="184"/>
      <c r="Z35" s="183">
        <v>19551.38</v>
      </c>
      <c r="AA35" s="184"/>
      <c r="AB35" s="183">
        <v>19551.38</v>
      </c>
      <c r="AC35" s="184"/>
      <c r="AD35" s="183">
        <v>19551.38</v>
      </c>
      <c r="AE35" s="184"/>
      <c r="AF35" s="183">
        <f t="shared" si="0"/>
        <v>233278.74</v>
      </c>
      <c r="AH35" s="194">
        <v>457038</v>
      </c>
    </row>
    <row r="36" spans="1:34">
      <c r="A36" s="182"/>
      <c r="B36" s="182"/>
      <c r="C36" s="182"/>
      <c r="D36" s="182"/>
      <c r="E36" s="182"/>
      <c r="F36" s="182" t="s">
        <v>184</v>
      </c>
      <c r="G36" s="182"/>
      <c r="H36" s="183">
        <v>2832.5</v>
      </c>
      <c r="I36" s="184"/>
      <c r="J36" s="183">
        <v>0</v>
      </c>
      <c r="K36" s="184"/>
      <c r="L36" s="183">
        <v>0</v>
      </c>
      <c r="M36" s="184"/>
      <c r="N36" s="183">
        <v>0</v>
      </c>
      <c r="O36" s="184"/>
      <c r="P36" s="183">
        <v>0</v>
      </c>
      <c r="Q36" s="184"/>
      <c r="R36" s="183">
        <v>0</v>
      </c>
      <c r="S36" s="184"/>
      <c r="T36" s="183">
        <v>0</v>
      </c>
      <c r="U36" s="184"/>
      <c r="V36" s="183">
        <v>0</v>
      </c>
      <c r="W36" s="184"/>
      <c r="X36" s="183">
        <v>0</v>
      </c>
      <c r="Y36" s="184"/>
      <c r="Z36" s="183">
        <v>0</v>
      </c>
      <c r="AA36" s="184"/>
      <c r="AB36" s="183">
        <v>0</v>
      </c>
      <c r="AC36" s="184"/>
      <c r="AD36" s="183">
        <v>0</v>
      </c>
      <c r="AE36" s="184"/>
      <c r="AF36" s="183">
        <f t="shared" si="0"/>
        <v>2832.5</v>
      </c>
      <c r="AH36" s="194">
        <v>11670.01</v>
      </c>
    </row>
    <row r="37" spans="1:34">
      <c r="A37" s="182"/>
      <c r="B37" s="182"/>
      <c r="C37" s="182"/>
      <c r="D37" s="182"/>
      <c r="E37" s="182"/>
      <c r="F37" s="182" t="s">
        <v>185</v>
      </c>
      <c r="G37" s="182"/>
      <c r="H37" s="183">
        <v>3500</v>
      </c>
      <c r="I37" s="184"/>
      <c r="J37" s="183">
        <v>3750</v>
      </c>
      <c r="K37" s="184"/>
      <c r="L37" s="183">
        <v>3750</v>
      </c>
      <c r="M37" s="184"/>
      <c r="N37" s="183">
        <v>3750</v>
      </c>
      <c r="O37" s="184"/>
      <c r="P37" s="183">
        <v>3750</v>
      </c>
      <c r="Q37" s="184"/>
      <c r="R37" s="183">
        <v>3750</v>
      </c>
      <c r="S37" s="184"/>
      <c r="T37" s="183">
        <v>3750</v>
      </c>
      <c r="U37" s="184"/>
      <c r="V37" s="183">
        <v>3750</v>
      </c>
      <c r="W37" s="184"/>
      <c r="X37" s="183">
        <v>3750</v>
      </c>
      <c r="Y37" s="184"/>
      <c r="Z37" s="183">
        <v>3750</v>
      </c>
      <c r="AA37" s="184"/>
      <c r="AB37" s="183">
        <v>3750</v>
      </c>
      <c r="AC37" s="184"/>
      <c r="AD37" s="183">
        <v>3750</v>
      </c>
      <c r="AE37" s="184"/>
      <c r="AF37" s="183">
        <f t="shared" si="0"/>
        <v>44750</v>
      </c>
      <c r="AH37" s="194">
        <v>5000</v>
      </c>
    </row>
    <row r="38" spans="1:34" ht="15" thickBot="1">
      <c r="A38" s="182"/>
      <c r="B38" s="182"/>
      <c r="C38" s="182"/>
      <c r="D38" s="182"/>
      <c r="E38" s="182"/>
      <c r="F38" s="182" t="s">
        <v>186</v>
      </c>
      <c r="G38" s="182"/>
      <c r="H38" s="185">
        <v>3083.34</v>
      </c>
      <c r="I38" s="184"/>
      <c r="J38" s="185">
        <v>3175.84</v>
      </c>
      <c r="K38" s="184"/>
      <c r="L38" s="185">
        <v>3175.84</v>
      </c>
      <c r="M38" s="184"/>
      <c r="N38" s="185">
        <v>3175.84</v>
      </c>
      <c r="O38" s="184"/>
      <c r="P38" s="185">
        <v>3175.84</v>
      </c>
      <c r="Q38" s="184"/>
      <c r="R38" s="185">
        <v>3175.84</v>
      </c>
      <c r="S38" s="184"/>
      <c r="T38" s="185">
        <v>3175.84</v>
      </c>
      <c r="U38" s="184"/>
      <c r="V38" s="185">
        <v>3175.84</v>
      </c>
      <c r="W38" s="184"/>
      <c r="X38" s="185">
        <v>3175.84</v>
      </c>
      <c r="Y38" s="184"/>
      <c r="Z38" s="185">
        <v>3175.84</v>
      </c>
      <c r="AA38" s="184"/>
      <c r="AB38" s="185">
        <v>3175.84</v>
      </c>
      <c r="AC38" s="184"/>
      <c r="AD38" s="185">
        <v>3175.84</v>
      </c>
      <c r="AE38" s="184"/>
      <c r="AF38" s="185">
        <f t="shared" si="0"/>
        <v>38017.58</v>
      </c>
      <c r="AH38" s="194">
        <f>4330*4</f>
        <v>17320</v>
      </c>
    </row>
    <row r="39" spans="1:34">
      <c r="A39" s="182"/>
      <c r="B39" s="182"/>
      <c r="C39" s="182"/>
      <c r="D39" s="182"/>
      <c r="E39" s="182" t="s">
        <v>187</v>
      </c>
      <c r="F39" s="182"/>
      <c r="G39" s="182"/>
      <c r="H39" s="183">
        <f>ROUND(SUM(H26:H38),5)</f>
        <v>127807.06</v>
      </c>
      <c r="I39" s="184"/>
      <c r="J39" s="183">
        <f>ROUND(SUM(J26:J38),5)</f>
        <v>111549.12</v>
      </c>
      <c r="K39" s="184"/>
      <c r="L39" s="183">
        <f>ROUND(SUM(L26:L38),5)</f>
        <v>109674.12</v>
      </c>
      <c r="M39" s="184"/>
      <c r="N39" s="183">
        <f>ROUND(SUM(N26:N38),5)</f>
        <v>179174.12</v>
      </c>
      <c r="O39" s="184"/>
      <c r="P39" s="183">
        <f>ROUND(SUM(P26:P38),5)</f>
        <v>110160.64</v>
      </c>
      <c r="Q39" s="184"/>
      <c r="R39" s="183">
        <f>ROUND(SUM(R26:R38),5)</f>
        <v>111267.88</v>
      </c>
      <c r="S39" s="184"/>
      <c r="T39" s="183">
        <f>ROUND(SUM(T26:T38),5)</f>
        <v>112900.78</v>
      </c>
      <c r="U39" s="184"/>
      <c r="V39" s="183">
        <f>ROUND(SUM(V26:V38),5)</f>
        <v>107605.13</v>
      </c>
      <c r="W39" s="184"/>
      <c r="X39" s="183">
        <f>ROUND(SUM(X26:X38),5)</f>
        <v>104755.28</v>
      </c>
      <c r="Y39" s="184"/>
      <c r="Z39" s="183">
        <f>ROUND(SUM(Z26:Z38),5)</f>
        <v>104755.28</v>
      </c>
      <c r="AA39" s="184"/>
      <c r="AB39" s="183">
        <f>ROUND(SUM(AB26:AB38),5)</f>
        <v>104755.28</v>
      </c>
      <c r="AC39" s="184"/>
      <c r="AD39" s="183">
        <f>ROUND(SUM(AD26:AD38),5)</f>
        <v>104755.28</v>
      </c>
      <c r="AE39" s="184"/>
      <c r="AF39" s="183">
        <f t="shared" si="0"/>
        <v>1389159.97</v>
      </c>
      <c r="AH39" s="194">
        <f>14000*4</f>
        <v>56000</v>
      </c>
    </row>
    <row r="40" spans="1:34">
      <c r="A40" s="182"/>
      <c r="B40" s="182"/>
      <c r="C40" s="182"/>
      <c r="D40" s="182"/>
      <c r="E40" s="182" t="s">
        <v>188</v>
      </c>
      <c r="F40" s="182"/>
      <c r="G40" s="182"/>
      <c r="H40" s="183"/>
      <c r="I40" s="184"/>
      <c r="J40" s="183"/>
      <c r="K40" s="184"/>
      <c r="L40" s="183"/>
      <c r="M40" s="184"/>
      <c r="N40" s="183"/>
      <c r="O40" s="184"/>
      <c r="P40" s="183"/>
      <c r="Q40" s="184"/>
      <c r="R40" s="183"/>
      <c r="S40" s="184"/>
      <c r="T40" s="183"/>
      <c r="U40" s="184"/>
      <c r="V40" s="183"/>
      <c r="W40" s="184"/>
      <c r="X40" s="183"/>
      <c r="Y40" s="184"/>
      <c r="Z40" s="183"/>
      <c r="AA40" s="184"/>
      <c r="AB40" s="183"/>
      <c r="AC40" s="184"/>
      <c r="AD40" s="183"/>
      <c r="AE40" s="184"/>
      <c r="AF40" s="183"/>
      <c r="AH40" s="194">
        <f>1140*4</f>
        <v>4560</v>
      </c>
    </row>
    <row r="41" spans="1:34">
      <c r="A41" s="182"/>
      <c r="B41" s="182"/>
      <c r="C41" s="182"/>
      <c r="D41" s="182"/>
      <c r="E41" s="182"/>
      <c r="F41" s="182" t="s">
        <v>189</v>
      </c>
      <c r="G41" s="182"/>
      <c r="H41" s="183">
        <v>13968.44</v>
      </c>
      <c r="I41" s="184"/>
      <c r="J41" s="183">
        <v>12622.94</v>
      </c>
      <c r="K41" s="184"/>
      <c r="L41" s="183">
        <v>12360.44</v>
      </c>
      <c r="M41" s="184"/>
      <c r="N41" s="183">
        <v>12360.44</v>
      </c>
      <c r="O41" s="184"/>
      <c r="P41" s="183">
        <v>12428.55</v>
      </c>
      <c r="Q41" s="184"/>
      <c r="R41" s="183">
        <v>12521.94</v>
      </c>
      <c r="S41" s="184"/>
      <c r="T41" s="183">
        <v>12707.18</v>
      </c>
      <c r="U41" s="184"/>
      <c r="V41" s="183">
        <v>12070.79</v>
      </c>
      <c r="W41" s="184"/>
      <c r="X41" s="183">
        <v>11614.06</v>
      </c>
      <c r="Y41" s="184"/>
      <c r="Z41" s="183">
        <v>15852.74</v>
      </c>
      <c r="AA41" s="184"/>
      <c r="AB41" s="183">
        <v>11614.06</v>
      </c>
      <c r="AC41" s="184"/>
      <c r="AD41" s="183">
        <v>11614.06</v>
      </c>
      <c r="AE41" s="184"/>
      <c r="AF41" s="183">
        <f t="shared" ref="AF41:AF47" si="1">ROUND(SUM(H41:AD41),5)</f>
        <v>151735.64000000001</v>
      </c>
      <c r="AH41" s="194">
        <v>500</v>
      </c>
    </row>
    <row r="42" spans="1:34">
      <c r="A42" s="182"/>
      <c r="B42" s="182"/>
      <c r="C42" s="182"/>
      <c r="D42" s="182"/>
      <c r="E42" s="182"/>
      <c r="F42" s="182" t="s">
        <v>190</v>
      </c>
      <c r="G42" s="182"/>
      <c r="H42" s="183">
        <v>1853.24</v>
      </c>
      <c r="I42" s="184"/>
      <c r="J42" s="183">
        <v>1617.45</v>
      </c>
      <c r="K42" s="184"/>
      <c r="L42" s="183">
        <v>1590.3</v>
      </c>
      <c r="M42" s="184"/>
      <c r="N42" s="183">
        <v>2598</v>
      </c>
      <c r="O42" s="184"/>
      <c r="P42" s="183">
        <v>1597.31</v>
      </c>
      <c r="Q42" s="184"/>
      <c r="R42" s="183">
        <v>1613.4</v>
      </c>
      <c r="S42" s="184"/>
      <c r="T42" s="183">
        <v>1637.06</v>
      </c>
      <c r="U42" s="184"/>
      <c r="V42" s="183">
        <v>1560.31</v>
      </c>
      <c r="W42" s="184"/>
      <c r="X42" s="183">
        <v>1518.96</v>
      </c>
      <c r="Y42" s="184"/>
      <c r="Z42" s="183">
        <f>+X42</f>
        <v>1518.96</v>
      </c>
      <c r="AA42" s="184"/>
      <c r="AB42" s="183">
        <v>1518.96</v>
      </c>
      <c r="AC42" s="184"/>
      <c r="AD42" s="183">
        <v>1518.96</v>
      </c>
      <c r="AE42" s="184"/>
      <c r="AF42" s="183">
        <f t="shared" si="1"/>
        <v>20142.91</v>
      </c>
      <c r="AH42" s="194">
        <v>24000</v>
      </c>
    </row>
    <row r="43" spans="1:34">
      <c r="A43" s="182"/>
      <c r="B43" s="182"/>
      <c r="C43" s="182"/>
      <c r="D43" s="182"/>
      <c r="E43" s="182"/>
      <c r="F43" s="182" t="s">
        <v>191</v>
      </c>
      <c r="G43" s="182"/>
      <c r="H43" s="183">
        <v>8029.82</v>
      </c>
      <c r="I43" s="184"/>
      <c r="J43" s="183">
        <v>2993.9</v>
      </c>
      <c r="K43" s="184"/>
      <c r="L43" s="183">
        <v>2993.9</v>
      </c>
      <c r="M43" s="184"/>
      <c r="N43" s="183">
        <v>2993.9</v>
      </c>
      <c r="O43" s="184"/>
      <c r="P43" s="183">
        <v>2993.9</v>
      </c>
      <c r="Q43" s="184"/>
      <c r="R43" s="183">
        <v>3055.53</v>
      </c>
      <c r="S43" s="184"/>
      <c r="T43" s="183">
        <v>3098.9</v>
      </c>
      <c r="U43" s="184"/>
      <c r="V43" s="183">
        <v>2993.9</v>
      </c>
      <c r="W43" s="184"/>
      <c r="X43" s="183">
        <v>3051.65</v>
      </c>
      <c r="Y43" s="184"/>
      <c r="Z43" s="183">
        <v>5076.25</v>
      </c>
      <c r="AA43" s="184"/>
      <c r="AB43" s="183">
        <v>3051.65</v>
      </c>
      <c r="AC43" s="184"/>
      <c r="AD43" s="183">
        <v>3051.65</v>
      </c>
      <c r="AE43" s="184"/>
      <c r="AF43" s="183">
        <f t="shared" si="1"/>
        <v>43384.95</v>
      </c>
      <c r="AH43" s="194"/>
    </row>
    <row r="44" spans="1:34">
      <c r="A44" s="182"/>
      <c r="B44" s="182"/>
      <c r="C44" s="182"/>
      <c r="D44" s="182"/>
      <c r="E44" s="182"/>
      <c r="F44" s="182" t="s">
        <v>192</v>
      </c>
      <c r="G44" s="182"/>
      <c r="H44" s="183">
        <v>7512.6</v>
      </c>
      <c r="I44" s="184"/>
      <c r="J44" s="183">
        <v>7443.86</v>
      </c>
      <c r="K44" s="184"/>
      <c r="L44" s="183">
        <v>12438.13</v>
      </c>
      <c r="M44" s="184"/>
      <c r="N44" s="183">
        <v>5335.33</v>
      </c>
      <c r="O44" s="184"/>
      <c r="P44" s="183">
        <v>3683.05</v>
      </c>
      <c r="Q44" s="184"/>
      <c r="R44" s="183">
        <v>8358.77</v>
      </c>
      <c r="S44" s="184"/>
      <c r="T44" s="183">
        <v>7165.18</v>
      </c>
      <c r="U44" s="184"/>
      <c r="V44" s="183">
        <v>16156.69</v>
      </c>
      <c r="W44" s="184"/>
      <c r="X44" s="183">
        <v>9480.1</v>
      </c>
      <c r="Y44" s="184"/>
      <c r="Z44" s="183">
        <v>19896.97</v>
      </c>
      <c r="AA44" s="184"/>
      <c r="AB44" s="183">
        <v>9480.1</v>
      </c>
      <c r="AC44" s="184"/>
      <c r="AD44" s="183">
        <v>9480.1</v>
      </c>
      <c r="AE44" s="184"/>
      <c r="AF44" s="183">
        <f t="shared" si="1"/>
        <v>116430.88</v>
      </c>
      <c r="AH44" s="194">
        <f>SUM(AH28:AH43)</f>
        <v>1445002.56</v>
      </c>
    </row>
    <row r="45" spans="1:34">
      <c r="A45" s="182"/>
      <c r="B45" s="182"/>
      <c r="C45" s="182"/>
      <c r="D45" s="182"/>
      <c r="E45" s="182"/>
      <c r="F45" s="182" t="s">
        <v>193</v>
      </c>
      <c r="G45" s="182"/>
      <c r="H45" s="183">
        <v>0</v>
      </c>
      <c r="I45" s="184"/>
      <c r="J45" s="183">
        <v>285.56</v>
      </c>
      <c r="K45" s="184"/>
      <c r="L45" s="183">
        <v>285.56</v>
      </c>
      <c r="M45" s="184"/>
      <c r="N45" s="183">
        <v>572.4</v>
      </c>
      <c r="O45" s="184"/>
      <c r="P45" s="183">
        <v>366.93</v>
      </c>
      <c r="Q45" s="184"/>
      <c r="R45" s="183">
        <v>2224.9299999999998</v>
      </c>
      <c r="S45" s="184"/>
      <c r="T45" s="183">
        <v>0</v>
      </c>
      <c r="U45" s="184"/>
      <c r="V45" s="183">
        <v>366.93</v>
      </c>
      <c r="W45" s="184"/>
      <c r="X45" s="183">
        <v>366.93</v>
      </c>
      <c r="Y45" s="184"/>
      <c r="Z45" s="183">
        <f>+X45</f>
        <v>366.93</v>
      </c>
      <c r="AA45" s="184"/>
      <c r="AB45" s="183">
        <v>366.93</v>
      </c>
      <c r="AC45" s="184"/>
      <c r="AD45" s="183">
        <v>366.93</v>
      </c>
      <c r="AE45" s="184"/>
      <c r="AF45" s="183">
        <f t="shared" si="1"/>
        <v>5570.03</v>
      </c>
      <c r="AH45" s="194">
        <f>+AF20</f>
        <v>1170143.77</v>
      </c>
    </row>
    <row r="46" spans="1:34" ht="15" thickBot="1">
      <c r="A46" s="182"/>
      <c r="B46" s="182"/>
      <c r="C46" s="182"/>
      <c r="D46" s="182"/>
      <c r="E46" s="182"/>
      <c r="F46" s="182" t="s">
        <v>194</v>
      </c>
      <c r="G46" s="182"/>
      <c r="H46" s="185">
        <v>0</v>
      </c>
      <c r="I46" s="184"/>
      <c r="J46" s="185">
        <v>716.63</v>
      </c>
      <c r="K46" s="184"/>
      <c r="L46" s="185">
        <v>655.87</v>
      </c>
      <c r="M46" s="184"/>
      <c r="N46" s="185">
        <v>328.5</v>
      </c>
      <c r="O46" s="184"/>
      <c r="P46" s="185">
        <v>0</v>
      </c>
      <c r="Q46" s="184"/>
      <c r="R46" s="185">
        <v>0</v>
      </c>
      <c r="S46" s="184"/>
      <c r="T46" s="185">
        <v>2897.58</v>
      </c>
      <c r="U46" s="184"/>
      <c r="V46" s="185">
        <v>2622.5</v>
      </c>
      <c r="W46" s="184"/>
      <c r="X46" s="185">
        <v>978.33</v>
      </c>
      <c r="Y46" s="184"/>
      <c r="Z46" s="185">
        <f>+X46</f>
        <v>978.33</v>
      </c>
      <c r="AA46" s="184"/>
      <c r="AB46" s="185">
        <v>978.33</v>
      </c>
      <c r="AC46" s="184"/>
      <c r="AD46" s="185">
        <v>978.33</v>
      </c>
      <c r="AE46" s="184"/>
      <c r="AF46" s="185">
        <f t="shared" si="1"/>
        <v>11134.4</v>
      </c>
      <c r="AH46" s="194">
        <f>+AH44-AH45</f>
        <v>274858.79000000004</v>
      </c>
    </row>
    <row r="47" spans="1:34">
      <c r="A47" s="182"/>
      <c r="B47" s="182"/>
      <c r="C47" s="182"/>
      <c r="D47" s="182"/>
      <c r="E47" s="182" t="s">
        <v>195</v>
      </c>
      <c r="F47" s="182"/>
      <c r="G47" s="182"/>
      <c r="H47" s="183">
        <f>ROUND(SUM(H40:H46),5)</f>
        <v>31364.1</v>
      </c>
      <c r="I47" s="184"/>
      <c r="J47" s="183">
        <f>ROUND(SUM(J40:J46),5)</f>
        <v>25680.34</v>
      </c>
      <c r="K47" s="184"/>
      <c r="L47" s="183">
        <f>ROUND(SUM(L40:L46),5)</f>
        <v>30324.2</v>
      </c>
      <c r="M47" s="184"/>
      <c r="N47" s="183">
        <f>ROUND(SUM(N40:N46),5)</f>
        <v>24188.57</v>
      </c>
      <c r="O47" s="184"/>
      <c r="P47" s="183">
        <f>ROUND(SUM(P40:P46),5)</f>
        <v>21069.74</v>
      </c>
      <c r="Q47" s="184"/>
      <c r="R47" s="183">
        <f>ROUND(SUM(R40:R46),5)</f>
        <v>27774.57</v>
      </c>
      <c r="S47" s="184"/>
      <c r="T47" s="183">
        <f>ROUND(SUM(T40:T46),5)</f>
        <v>27505.9</v>
      </c>
      <c r="U47" s="184"/>
      <c r="V47" s="183">
        <f>ROUND(SUM(V40:V46),5)</f>
        <v>35771.120000000003</v>
      </c>
      <c r="W47" s="184"/>
      <c r="X47" s="183">
        <f>ROUND(SUM(X40:X46),5)</f>
        <v>27010.03</v>
      </c>
      <c r="Y47" s="184"/>
      <c r="Z47" s="183">
        <f>ROUND(SUM(Z40:Z46),5)</f>
        <v>43690.18</v>
      </c>
      <c r="AA47" s="184"/>
      <c r="AB47" s="183">
        <f>ROUND(SUM(AB40:AB46),5)</f>
        <v>27010.03</v>
      </c>
      <c r="AC47" s="184"/>
      <c r="AD47" s="183">
        <f>ROUND(SUM(AD40:AD46),5)</f>
        <v>27010.03</v>
      </c>
      <c r="AE47" s="184"/>
      <c r="AF47" s="183">
        <f t="shared" si="1"/>
        <v>348398.81</v>
      </c>
      <c r="AH47" s="194"/>
    </row>
    <row r="48" spans="1:34">
      <c r="A48" s="182"/>
      <c r="B48" s="182"/>
      <c r="C48" s="182"/>
      <c r="D48" s="182"/>
      <c r="E48" s="182" t="s">
        <v>196</v>
      </c>
      <c r="F48" s="182"/>
      <c r="G48" s="182"/>
      <c r="H48" s="183"/>
      <c r="I48" s="184"/>
      <c r="J48" s="183"/>
      <c r="K48" s="184"/>
      <c r="L48" s="183"/>
      <c r="M48" s="184"/>
      <c r="N48" s="183"/>
      <c r="O48" s="184"/>
      <c r="P48" s="183"/>
      <c r="Q48" s="184"/>
      <c r="R48" s="183"/>
      <c r="S48" s="184"/>
      <c r="T48" s="183"/>
      <c r="U48" s="184"/>
      <c r="V48" s="183"/>
      <c r="W48" s="184"/>
      <c r="X48" s="183"/>
      <c r="Y48" s="184"/>
      <c r="Z48" s="183"/>
      <c r="AA48" s="184"/>
      <c r="AB48" s="183"/>
      <c r="AC48" s="184"/>
      <c r="AD48" s="183"/>
      <c r="AE48" s="184"/>
      <c r="AF48" s="183"/>
      <c r="AH48" s="194"/>
    </row>
    <row r="49" spans="1:32">
      <c r="A49" s="182"/>
      <c r="B49" s="182"/>
      <c r="C49" s="182"/>
      <c r="D49" s="182"/>
      <c r="E49" s="182"/>
      <c r="F49" s="182" t="s">
        <v>197</v>
      </c>
      <c r="G49" s="182"/>
      <c r="H49" s="183">
        <v>2836</v>
      </c>
      <c r="I49" s="184"/>
      <c r="J49" s="183">
        <v>500</v>
      </c>
      <c r="K49" s="184"/>
      <c r="L49" s="183">
        <v>-855</v>
      </c>
      <c r="M49" s="184"/>
      <c r="N49" s="183">
        <v>0</v>
      </c>
      <c r="O49" s="184"/>
      <c r="P49" s="183">
        <v>0</v>
      </c>
      <c r="Q49" s="184"/>
      <c r="R49" s="183">
        <v>0</v>
      </c>
      <c r="S49" s="184"/>
      <c r="T49" s="183">
        <v>500</v>
      </c>
      <c r="U49" s="184"/>
      <c r="V49" s="183">
        <v>0</v>
      </c>
      <c r="W49" s="184"/>
      <c r="X49" s="183">
        <v>0</v>
      </c>
      <c r="Y49" s="184"/>
      <c r="Z49" s="183">
        <v>0</v>
      </c>
      <c r="AA49" s="184"/>
      <c r="AB49" s="183">
        <v>0</v>
      </c>
      <c r="AC49" s="184"/>
      <c r="AD49" s="183">
        <v>0</v>
      </c>
      <c r="AE49" s="184"/>
      <c r="AF49" s="183">
        <f>ROUND(SUM(H49:AD49),5)</f>
        <v>2981</v>
      </c>
    </row>
    <row r="50" spans="1:32">
      <c r="A50" s="182"/>
      <c r="B50" s="182"/>
      <c r="C50" s="182"/>
      <c r="D50" s="182"/>
      <c r="E50" s="182"/>
      <c r="F50" s="182" t="s">
        <v>198</v>
      </c>
      <c r="G50" s="182"/>
      <c r="H50" s="183"/>
      <c r="I50" s="184"/>
      <c r="J50" s="183"/>
      <c r="K50" s="184"/>
      <c r="L50" s="183"/>
      <c r="M50" s="184"/>
      <c r="N50" s="183"/>
      <c r="O50" s="184"/>
      <c r="P50" s="183"/>
      <c r="Q50" s="184"/>
      <c r="R50" s="183"/>
      <c r="S50" s="184"/>
      <c r="T50" s="183"/>
      <c r="U50" s="184"/>
      <c r="V50" s="183"/>
      <c r="W50" s="184"/>
      <c r="X50" s="183"/>
      <c r="Y50" s="184"/>
      <c r="Z50" s="183"/>
      <c r="AA50" s="184"/>
      <c r="AB50" s="183"/>
      <c r="AC50" s="184"/>
      <c r="AD50" s="183"/>
      <c r="AE50" s="184"/>
      <c r="AF50" s="183"/>
    </row>
    <row r="51" spans="1:32">
      <c r="A51" s="182"/>
      <c r="B51" s="182"/>
      <c r="C51" s="182"/>
      <c r="D51" s="182"/>
      <c r="E51" s="182"/>
      <c r="F51" s="182"/>
      <c r="G51" s="182" t="s">
        <v>199</v>
      </c>
      <c r="H51" s="183">
        <v>0</v>
      </c>
      <c r="I51" s="184"/>
      <c r="J51" s="183">
        <v>2500</v>
      </c>
      <c r="K51" s="184"/>
      <c r="L51" s="183">
        <v>0</v>
      </c>
      <c r="M51" s="184"/>
      <c r="N51" s="183">
        <v>0</v>
      </c>
      <c r="O51" s="184"/>
      <c r="P51" s="183">
        <v>0</v>
      </c>
      <c r="Q51" s="184"/>
      <c r="R51" s="183">
        <v>0</v>
      </c>
      <c r="S51" s="184"/>
      <c r="T51" s="183">
        <v>0</v>
      </c>
      <c r="U51" s="184"/>
      <c r="V51" s="183">
        <v>0</v>
      </c>
      <c r="W51" s="184"/>
      <c r="X51" s="183">
        <v>0</v>
      </c>
      <c r="Y51" s="184"/>
      <c r="Z51" s="183">
        <v>0</v>
      </c>
      <c r="AA51" s="184"/>
      <c r="AB51" s="183">
        <v>0</v>
      </c>
      <c r="AC51" s="184"/>
      <c r="AD51" s="183">
        <v>0</v>
      </c>
      <c r="AE51" s="184"/>
      <c r="AF51" s="183">
        <f t="shared" ref="AF51:AF86" si="2">ROUND(SUM(H51:AD51),5)</f>
        <v>2500</v>
      </c>
    </row>
    <row r="52" spans="1:32" ht="15" thickBot="1">
      <c r="A52" s="182"/>
      <c r="B52" s="182"/>
      <c r="C52" s="182"/>
      <c r="D52" s="182"/>
      <c r="E52" s="182"/>
      <c r="F52" s="182"/>
      <c r="G52" s="182" t="s">
        <v>200</v>
      </c>
      <c r="H52" s="185">
        <v>0</v>
      </c>
      <c r="I52" s="184"/>
      <c r="J52" s="185">
        <v>0</v>
      </c>
      <c r="K52" s="184"/>
      <c r="L52" s="185">
        <v>498</v>
      </c>
      <c r="M52" s="184"/>
      <c r="N52" s="185">
        <v>0</v>
      </c>
      <c r="O52" s="184"/>
      <c r="P52" s="185">
        <v>0</v>
      </c>
      <c r="Q52" s="184"/>
      <c r="R52" s="185">
        <v>0</v>
      </c>
      <c r="S52" s="184"/>
      <c r="T52" s="185">
        <v>0</v>
      </c>
      <c r="U52" s="184"/>
      <c r="V52" s="185">
        <v>77.56</v>
      </c>
      <c r="W52" s="184"/>
      <c r="X52" s="185">
        <v>0</v>
      </c>
      <c r="Y52" s="184"/>
      <c r="Z52" s="185">
        <v>0</v>
      </c>
      <c r="AA52" s="184"/>
      <c r="AB52" s="185">
        <v>0</v>
      </c>
      <c r="AC52" s="184"/>
      <c r="AD52" s="185">
        <v>0</v>
      </c>
      <c r="AE52" s="184"/>
      <c r="AF52" s="185">
        <f t="shared" si="2"/>
        <v>575.55999999999995</v>
      </c>
    </row>
    <row r="53" spans="1:32">
      <c r="A53" s="182"/>
      <c r="B53" s="182"/>
      <c r="C53" s="182"/>
      <c r="D53" s="182"/>
      <c r="E53" s="182"/>
      <c r="F53" s="182" t="s">
        <v>201</v>
      </c>
      <c r="G53" s="182"/>
      <c r="H53" s="183">
        <f>ROUND(SUM(H50:H52),5)</f>
        <v>0</v>
      </c>
      <c r="I53" s="184"/>
      <c r="J53" s="183">
        <f>ROUND(SUM(J50:J52),5)</f>
        <v>2500</v>
      </c>
      <c r="K53" s="184"/>
      <c r="L53" s="183">
        <f>ROUND(SUM(L50:L52),5)</f>
        <v>498</v>
      </c>
      <c r="M53" s="184"/>
      <c r="N53" s="183">
        <f>ROUND(SUM(N50:N52),5)</f>
        <v>0</v>
      </c>
      <c r="O53" s="184"/>
      <c r="P53" s="183">
        <f>ROUND(SUM(P50:P52),5)</f>
        <v>0</v>
      </c>
      <c r="Q53" s="184"/>
      <c r="R53" s="183">
        <f>ROUND(SUM(R50:R52),5)</f>
        <v>0</v>
      </c>
      <c r="S53" s="184"/>
      <c r="T53" s="183">
        <f>ROUND(SUM(T50:T52),5)</f>
        <v>0</v>
      </c>
      <c r="U53" s="184"/>
      <c r="V53" s="183">
        <f>ROUND(SUM(V50:V52),5)</f>
        <v>77.56</v>
      </c>
      <c r="W53" s="184"/>
      <c r="X53" s="183">
        <f>ROUND(SUM(X50:X52),5)</f>
        <v>0</v>
      </c>
      <c r="Y53" s="184"/>
      <c r="Z53" s="183">
        <f>ROUND(SUM(Z50:Z52),5)</f>
        <v>0</v>
      </c>
      <c r="AA53" s="184"/>
      <c r="AB53" s="183">
        <f>ROUND(SUM(AB50:AB52),5)</f>
        <v>0</v>
      </c>
      <c r="AC53" s="184"/>
      <c r="AD53" s="183">
        <f>ROUND(SUM(AD50:AD52),5)</f>
        <v>0</v>
      </c>
      <c r="AE53" s="184"/>
      <c r="AF53" s="183">
        <f t="shared" si="2"/>
        <v>3075.56</v>
      </c>
    </row>
    <row r="54" spans="1:32">
      <c r="A54" s="182"/>
      <c r="B54" s="182"/>
      <c r="C54" s="182"/>
      <c r="D54" s="182"/>
      <c r="E54" s="182"/>
      <c r="F54" s="182" t="s">
        <v>202</v>
      </c>
      <c r="G54" s="182"/>
      <c r="H54" s="183">
        <v>0</v>
      </c>
      <c r="I54" s="184"/>
      <c r="J54" s="183">
        <v>3158.75</v>
      </c>
      <c r="K54" s="184"/>
      <c r="L54" s="183">
        <v>1487.5</v>
      </c>
      <c r="M54" s="184"/>
      <c r="N54" s="183">
        <v>2643.5</v>
      </c>
      <c r="O54" s="184"/>
      <c r="P54" s="183">
        <v>5870.05</v>
      </c>
      <c r="Q54" s="184"/>
      <c r="R54" s="183">
        <v>2431.25</v>
      </c>
      <c r="S54" s="184"/>
      <c r="T54" s="183">
        <v>1105</v>
      </c>
      <c r="U54" s="184"/>
      <c r="V54" s="183">
        <v>902.05</v>
      </c>
      <c r="W54" s="184"/>
      <c r="X54" s="183">
        <v>3355</v>
      </c>
      <c r="Y54" s="184"/>
      <c r="Z54" s="183">
        <v>3355</v>
      </c>
      <c r="AA54" s="184"/>
      <c r="AB54" s="183">
        <v>3355</v>
      </c>
      <c r="AC54" s="184"/>
      <c r="AD54" s="183">
        <v>0</v>
      </c>
      <c r="AE54" s="184"/>
      <c r="AF54" s="183">
        <f t="shared" si="2"/>
        <v>27663.1</v>
      </c>
    </row>
    <row r="55" spans="1:32">
      <c r="A55" s="182"/>
      <c r="B55" s="182"/>
      <c r="C55" s="182"/>
      <c r="D55" s="182"/>
      <c r="E55" s="182"/>
      <c r="F55" s="182" t="s">
        <v>203</v>
      </c>
      <c r="G55" s="182"/>
      <c r="H55" s="183">
        <v>0</v>
      </c>
      <c r="I55" s="184"/>
      <c r="J55" s="183">
        <v>0</v>
      </c>
      <c r="K55" s="184"/>
      <c r="L55" s="183">
        <v>0</v>
      </c>
      <c r="M55" s="184"/>
      <c r="N55" s="183">
        <v>4897.75</v>
      </c>
      <c r="O55" s="184"/>
      <c r="P55" s="183">
        <v>2399.1</v>
      </c>
      <c r="Q55" s="184"/>
      <c r="R55" s="183">
        <v>2181.85</v>
      </c>
      <c r="S55" s="184"/>
      <c r="T55" s="183">
        <v>2014.65</v>
      </c>
      <c r="U55" s="184"/>
      <c r="V55" s="183">
        <v>2224.75</v>
      </c>
      <c r="W55" s="184"/>
      <c r="X55" s="183">
        <v>1981.1</v>
      </c>
      <c r="Y55" s="184"/>
      <c r="Z55" s="183">
        <v>1981.1</v>
      </c>
      <c r="AA55" s="184"/>
      <c r="AB55" s="183">
        <v>1981.1</v>
      </c>
      <c r="AC55" s="184"/>
      <c r="AD55" s="183">
        <v>0</v>
      </c>
      <c r="AE55" s="184"/>
      <c r="AF55" s="183">
        <f t="shared" si="2"/>
        <v>19661.400000000001</v>
      </c>
    </row>
    <row r="56" spans="1:32">
      <c r="A56" s="182"/>
      <c r="B56" s="182"/>
      <c r="C56" s="182"/>
      <c r="D56" s="182"/>
      <c r="E56" s="182"/>
      <c r="F56" s="182" t="s">
        <v>204</v>
      </c>
      <c r="G56" s="182"/>
      <c r="H56" s="183">
        <v>11250</v>
      </c>
      <c r="I56" s="184"/>
      <c r="J56" s="183">
        <v>11250</v>
      </c>
      <c r="K56" s="184"/>
      <c r="L56" s="183">
        <v>11250</v>
      </c>
      <c r="M56" s="184"/>
      <c r="N56" s="183">
        <v>11250</v>
      </c>
      <c r="O56" s="184"/>
      <c r="P56" s="183">
        <v>11250</v>
      </c>
      <c r="Q56" s="184"/>
      <c r="R56" s="183">
        <v>11250</v>
      </c>
      <c r="S56" s="184"/>
      <c r="T56" s="183">
        <v>13750</v>
      </c>
      <c r="U56" s="184"/>
      <c r="V56" s="183">
        <v>11250</v>
      </c>
      <c r="W56" s="184"/>
      <c r="X56" s="183">
        <v>11250</v>
      </c>
      <c r="Y56" s="184"/>
      <c r="Z56" s="183">
        <v>11250</v>
      </c>
      <c r="AA56" s="184"/>
      <c r="AB56" s="183">
        <v>11250</v>
      </c>
      <c r="AC56" s="184"/>
      <c r="AD56" s="183">
        <v>11250</v>
      </c>
      <c r="AE56" s="184"/>
      <c r="AF56" s="183">
        <f t="shared" si="2"/>
        <v>137500</v>
      </c>
    </row>
    <row r="57" spans="1:32">
      <c r="A57" s="182"/>
      <c r="B57" s="182"/>
      <c r="C57" s="182"/>
      <c r="D57" s="182"/>
      <c r="E57" s="182"/>
      <c r="F57" s="182" t="s">
        <v>205</v>
      </c>
      <c r="G57" s="182"/>
      <c r="H57" s="183">
        <v>3809.83</v>
      </c>
      <c r="I57" s="184"/>
      <c r="J57" s="183">
        <v>4183.42</v>
      </c>
      <c r="K57" s="184"/>
      <c r="L57" s="183">
        <v>3909.77</v>
      </c>
      <c r="M57" s="184"/>
      <c r="N57" s="183">
        <v>5639.68</v>
      </c>
      <c r="O57" s="184"/>
      <c r="P57" s="183">
        <v>4169.93</v>
      </c>
      <c r="Q57" s="184"/>
      <c r="R57" s="183">
        <v>4458.17</v>
      </c>
      <c r="S57" s="184"/>
      <c r="T57" s="183">
        <v>4156.46</v>
      </c>
      <c r="U57" s="184"/>
      <c r="V57" s="183">
        <v>3945.03</v>
      </c>
      <c r="W57" s="184"/>
      <c r="X57" s="183">
        <v>4073.94</v>
      </c>
      <c r="Y57" s="184"/>
      <c r="Z57" s="183">
        <v>4063.66</v>
      </c>
      <c r="AA57" s="184"/>
      <c r="AB57" s="183">
        <v>4063.66</v>
      </c>
      <c r="AC57" s="191"/>
      <c r="AD57" s="183">
        <v>4063.66</v>
      </c>
      <c r="AE57" s="184"/>
      <c r="AF57" s="183">
        <f t="shared" si="2"/>
        <v>50537.21</v>
      </c>
    </row>
    <row r="58" spans="1:32">
      <c r="A58" s="182"/>
      <c r="B58" s="182"/>
      <c r="C58" s="182"/>
      <c r="D58" s="182"/>
      <c r="E58" s="182"/>
      <c r="F58" s="182" t="s">
        <v>206</v>
      </c>
      <c r="G58" s="182"/>
      <c r="H58" s="183">
        <v>8404.2000000000007</v>
      </c>
      <c r="I58" s="184"/>
      <c r="J58" s="183">
        <v>0</v>
      </c>
      <c r="K58" s="184"/>
      <c r="L58" s="183">
        <v>0</v>
      </c>
      <c r="M58" s="184"/>
      <c r="N58" s="183">
        <v>0</v>
      </c>
      <c r="O58" s="184"/>
      <c r="P58" s="183">
        <v>0</v>
      </c>
      <c r="Q58" s="184"/>
      <c r="R58" s="183">
        <v>0</v>
      </c>
      <c r="S58" s="184"/>
      <c r="T58" s="183">
        <v>0</v>
      </c>
      <c r="U58" s="184"/>
      <c r="V58" s="183">
        <v>0</v>
      </c>
      <c r="W58" s="184"/>
      <c r="X58" s="183">
        <v>0</v>
      </c>
      <c r="Y58" s="184"/>
      <c r="Z58" s="183">
        <v>0</v>
      </c>
      <c r="AA58" s="184"/>
      <c r="AB58" s="183">
        <v>0</v>
      </c>
      <c r="AC58" s="184"/>
      <c r="AD58" s="183">
        <v>0</v>
      </c>
      <c r="AE58" s="184"/>
      <c r="AF58" s="183">
        <f t="shared" si="2"/>
        <v>8404.2000000000007</v>
      </c>
    </row>
    <row r="59" spans="1:32">
      <c r="A59" s="182"/>
      <c r="B59" s="182"/>
      <c r="C59" s="182"/>
      <c r="D59" s="182"/>
      <c r="E59" s="182"/>
      <c r="F59" s="182" t="s">
        <v>207</v>
      </c>
      <c r="G59" s="182"/>
      <c r="H59" s="183">
        <v>625</v>
      </c>
      <c r="I59" s="184"/>
      <c r="J59" s="183">
        <v>1375</v>
      </c>
      <c r="K59" s="184"/>
      <c r="L59" s="183">
        <v>750</v>
      </c>
      <c r="M59" s="184"/>
      <c r="N59" s="183">
        <v>875</v>
      </c>
      <c r="O59" s="184"/>
      <c r="P59" s="183">
        <v>62.5</v>
      </c>
      <c r="Q59" s="184"/>
      <c r="R59" s="183">
        <v>1125</v>
      </c>
      <c r="S59" s="184"/>
      <c r="T59" s="183">
        <v>875</v>
      </c>
      <c r="U59" s="184"/>
      <c r="V59" s="183">
        <v>750</v>
      </c>
      <c r="W59" s="184"/>
      <c r="X59" s="183">
        <v>625</v>
      </c>
      <c r="Y59" s="184"/>
      <c r="Z59" s="183">
        <v>750</v>
      </c>
      <c r="AA59" s="184"/>
      <c r="AB59" s="183">
        <v>750</v>
      </c>
      <c r="AC59" s="184"/>
      <c r="AD59" s="183">
        <v>750</v>
      </c>
      <c r="AE59" s="184"/>
      <c r="AF59" s="183">
        <f t="shared" si="2"/>
        <v>9312.5</v>
      </c>
    </row>
    <row r="60" spans="1:32">
      <c r="A60" s="182"/>
      <c r="B60" s="182"/>
      <c r="C60" s="182"/>
      <c r="D60" s="182"/>
      <c r="E60" s="182"/>
      <c r="F60" s="182" t="s">
        <v>208</v>
      </c>
      <c r="G60" s="182"/>
      <c r="H60" s="183">
        <v>3746</v>
      </c>
      <c r="I60" s="184"/>
      <c r="J60" s="183">
        <v>3500</v>
      </c>
      <c r="K60" s="184"/>
      <c r="L60" s="183">
        <v>3500</v>
      </c>
      <c r="M60" s="184"/>
      <c r="N60" s="183">
        <v>3500</v>
      </c>
      <c r="O60" s="184"/>
      <c r="P60" s="183">
        <v>3500</v>
      </c>
      <c r="Q60" s="184"/>
      <c r="R60" s="183">
        <v>3664</v>
      </c>
      <c r="S60" s="184"/>
      <c r="T60" s="183">
        <v>3623</v>
      </c>
      <c r="U60" s="184"/>
      <c r="V60" s="183">
        <v>6595.5</v>
      </c>
      <c r="W60" s="184"/>
      <c r="X60" s="183">
        <v>6841.5</v>
      </c>
      <c r="Y60" s="184"/>
      <c r="Z60" s="183">
        <v>3500</v>
      </c>
      <c r="AA60" s="184"/>
      <c r="AB60" s="190">
        <v>3500</v>
      </c>
      <c r="AC60" s="191"/>
      <c r="AD60" s="190">
        <v>3500</v>
      </c>
      <c r="AE60" s="184"/>
      <c r="AF60" s="183">
        <f t="shared" si="2"/>
        <v>48970</v>
      </c>
    </row>
    <row r="61" spans="1:32">
      <c r="A61" s="182"/>
      <c r="B61" s="182"/>
      <c r="C61" s="182"/>
      <c r="D61" s="182"/>
      <c r="E61" s="182"/>
      <c r="F61" s="182" t="s">
        <v>209</v>
      </c>
      <c r="G61" s="182"/>
      <c r="H61" s="183">
        <v>1900</v>
      </c>
      <c r="I61" s="184"/>
      <c r="J61" s="183">
        <v>1900</v>
      </c>
      <c r="K61" s="184"/>
      <c r="L61" s="183">
        <v>1900</v>
      </c>
      <c r="M61" s="184"/>
      <c r="N61" s="183">
        <v>1900</v>
      </c>
      <c r="O61" s="184"/>
      <c r="P61" s="183">
        <v>1900</v>
      </c>
      <c r="Q61" s="184"/>
      <c r="R61" s="183">
        <v>1900</v>
      </c>
      <c r="S61" s="184"/>
      <c r="T61" s="183">
        <v>1900</v>
      </c>
      <c r="U61" s="184"/>
      <c r="V61" s="183">
        <v>1900</v>
      </c>
      <c r="W61" s="184"/>
      <c r="X61" s="183">
        <v>1900</v>
      </c>
      <c r="Y61" s="184"/>
      <c r="Z61" s="183">
        <v>1900</v>
      </c>
      <c r="AA61" s="184"/>
      <c r="AB61" s="183">
        <v>1900</v>
      </c>
      <c r="AC61" s="184"/>
      <c r="AD61" s="183">
        <v>1900</v>
      </c>
      <c r="AE61" s="184"/>
      <c r="AF61" s="183">
        <f t="shared" si="2"/>
        <v>22800</v>
      </c>
    </row>
    <row r="62" spans="1:32">
      <c r="A62" s="182"/>
      <c r="B62" s="182"/>
      <c r="C62" s="182"/>
      <c r="D62" s="182"/>
      <c r="E62" s="182"/>
      <c r="F62" s="182" t="s">
        <v>210</v>
      </c>
      <c r="G62" s="182"/>
      <c r="H62" s="183">
        <v>4000</v>
      </c>
      <c r="I62" s="184"/>
      <c r="J62" s="183">
        <v>12870</v>
      </c>
      <c r="K62" s="184"/>
      <c r="L62" s="183">
        <v>22431.75</v>
      </c>
      <c r="M62" s="184"/>
      <c r="N62" s="183">
        <v>22431.75</v>
      </c>
      <c r="O62" s="184"/>
      <c r="P62" s="183">
        <v>4000</v>
      </c>
      <c r="Q62" s="184"/>
      <c r="R62" s="183">
        <v>22431.75</v>
      </c>
      <c r="S62" s="184"/>
      <c r="T62" s="183">
        <v>4000</v>
      </c>
      <c r="U62" s="184"/>
      <c r="V62" s="183">
        <v>31086.75</v>
      </c>
      <c r="W62" s="184"/>
      <c r="X62" s="183">
        <v>4000</v>
      </c>
      <c r="Y62" s="184"/>
      <c r="Z62" s="183">
        <v>4000</v>
      </c>
      <c r="AA62" s="184"/>
      <c r="AB62" s="183">
        <v>4000</v>
      </c>
      <c r="AC62" s="184"/>
      <c r="AD62" s="183">
        <v>4000</v>
      </c>
      <c r="AE62" s="184"/>
      <c r="AF62" s="183">
        <f t="shared" si="2"/>
        <v>139252</v>
      </c>
    </row>
    <row r="63" spans="1:32">
      <c r="A63" s="182"/>
      <c r="B63" s="182"/>
      <c r="C63" s="182"/>
      <c r="D63" s="182"/>
      <c r="E63" s="182"/>
      <c r="F63" s="182" t="s">
        <v>211</v>
      </c>
      <c r="G63" s="182"/>
      <c r="H63" s="183">
        <v>3909.13</v>
      </c>
      <c r="I63" s="184"/>
      <c r="J63" s="183">
        <v>220.75</v>
      </c>
      <c r="K63" s="184"/>
      <c r="L63" s="183">
        <v>19771.97</v>
      </c>
      <c r="M63" s="184"/>
      <c r="N63" s="183">
        <v>1032.0999999999999</v>
      </c>
      <c r="O63" s="184"/>
      <c r="P63" s="183">
        <v>1328.44</v>
      </c>
      <c r="Q63" s="184"/>
      <c r="R63" s="183">
        <v>726.6</v>
      </c>
      <c r="S63" s="184"/>
      <c r="T63" s="183">
        <v>2763.65</v>
      </c>
      <c r="U63" s="184"/>
      <c r="V63" s="183">
        <v>1242.22</v>
      </c>
      <c r="W63" s="184"/>
      <c r="X63" s="183">
        <v>5144.2</v>
      </c>
      <c r="Y63" s="184"/>
      <c r="Z63" s="183">
        <f>775+1242.22</f>
        <v>2017.22</v>
      </c>
      <c r="AA63" s="184"/>
      <c r="AB63" s="183">
        <v>1242.22</v>
      </c>
      <c r="AC63" s="184"/>
      <c r="AD63" s="183">
        <v>1242.22</v>
      </c>
      <c r="AE63" s="184"/>
      <c r="AF63" s="183">
        <f t="shared" si="2"/>
        <v>40640.720000000001</v>
      </c>
    </row>
    <row r="64" spans="1:32">
      <c r="A64" s="182"/>
      <c r="B64" s="182"/>
      <c r="C64" s="182"/>
      <c r="D64" s="182"/>
      <c r="E64" s="182"/>
      <c r="F64" s="182" t="s">
        <v>212</v>
      </c>
      <c r="G64" s="182"/>
      <c r="H64" s="183">
        <v>0</v>
      </c>
      <c r="I64" s="184"/>
      <c r="J64" s="183">
        <v>432</v>
      </c>
      <c r="K64" s="184"/>
      <c r="L64" s="183">
        <v>0</v>
      </c>
      <c r="M64" s="184"/>
      <c r="N64" s="183">
        <v>0</v>
      </c>
      <c r="O64" s="184"/>
      <c r="P64" s="183">
        <v>0</v>
      </c>
      <c r="Q64" s="184"/>
      <c r="R64" s="183">
        <v>0</v>
      </c>
      <c r="S64" s="184"/>
      <c r="T64" s="183">
        <v>0</v>
      </c>
      <c r="U64" s="184"/>
      <c r="V64" s="183">
        <v>0</v>
      </c>
      <c r="W64" s="184"/>
      <c r="X64" s="183">
        <v>0</v>
      </c>
      <c r="Y64" s="184"/>
      <c r="Z64" s="183">
        <v>0</v>
      </c>
      <c r="AA64" s="184"/>
      <c r="AB64" s="183">
        <v>0</v>
      </c>
      <c r="AC64" s="184"/>
      <c r="AD64" s="183">
        <v>0</v>
      </c>
      <c r="AE64" s="184"/>
      <c r="AF64" s="183">
        <f t="shared" si="2"/>
        <v>432</v>
      </c>
    </row>
    <row r="65" spans="1:32">
      <c r="A65" s="182"/>
      <c r="B65" s="182"/>
      <c r="C65" s="182"/>
      <c r="D65" s="182"/>
      <c r="E65" s="182"/>
      <c r="F65" s="182" t="s">
        <v>213</v>
      </c>
      <c r="G65" s="182"/>
      <c r="H65" s="183">
        <v>2106.25</v>
      </c>
      <c r="I65" s="184"/>
      <c r="J65" s="183">
        <v>1662.5</v>
      </c>
      <c r="K65" s="184"/>
      <c r="L65" s="183">
        <v>225</v>
      </c>
      <c r="M65" s="184"/>
      <c r="N65" s="183">
        <v>0</v>
      </c>
      <c r="O65" s="184"/>
      <c r="P65" s="183">
        <v>0</v>
      </c>
      <c r="Q65" s="184"/>
      <c r="R65" s="183">
        <v>0</v>
      </c>
      <c r="S65" s="184"/>
      <c r="T65" s="183">
        <v>0</v>
      </c>
      <c r="U65" s="184"/>
      <c r="V65" s="183">
        <v>437.5</v>
      </c>
      <c r="W65" s="184"/>
      <c r="X65" s="183">
        <v>212.5</v>
      </c>
      <c r="Y65" s="184"/>
      <c r="Z65" s="183">
        <v>0</v>
      </c>
      <c r="AA65" s="184"/>
      <c r="AB65" s="183">
        <v>0</v>
      </c>
      <c r="AC65" s="184"/>
      <c r="AD65" s="183">
        <v>0</v>
      </c>
      <c r="AE65" s="184"/>
      <c r="AF65" s="183">
        <f t="shared" si="2"/>
        <v>4643.75</v>
      </c>
    </row>
    <row r="66" spans="1:32">
      <c r="A66" s="182"/>
      <c r="B66" s="182"/>
      <c r="C66" s="182"/>
      <c r="D66" s="182"/>
      <c r="E66" s="182"/>
      <c r="F66" s="182" t="s">
        <v>214</v>
      </c>
      <c r="G66" s="182"/>
      <c r="H66" s="183">
        <v>311.99</v>
      </c>
      <c r="I66" s="184"/>
      <c r="J66" s="183">
        <v>313.32</v>
      </c>
      <c r="K66" s="184"/>
      <c r="L66" s="183">
        <v>327.81</v>
      </c>
      <c r="M66" s="184"/>
      <c r="N66" s="183">
        <v>323.93</v>
      </c>
      <c r="O66" s="184"/>
      <c r="P66" s="183">
        <v>323.93</v>
      </c>
      <c r="Q66" s="184"/>
      <c r="R66" s="183">
        <v>318.52999999999997</v>
      </c>
      <c r="S66" s="184"/>
      <c r="T66" s="183">
        <v>358.25</v>
      </c>
      <c r="U66" s="184"/>
      <c r="V66" s="183">
        <v>356.33</v>
      </c>
      <c r="W66" s="184"/>
      <c r="X66" s="183">
        <v>361.32</v>
      </c>
      <c r="Y66" s="184"/>
      <c r="Z66" s="183">
        <v>361.9</v>
      </c>
      <c r="AA66" s="184"/>
      <c r="AB66" s="183">
        <v>361.9</v>
      </c>
      <c r="AC66" s="184"/>
      <c r="AD66" s="183">
        <v>361.9</v>
      </c>
      <c r="AE66" s="184"/>
      <c r="AF66" s="183">
        <f t="shared" si="2"/>
        <v>4081.11</v>
      </c>
    </row>
    <row r="67" spans="1:32">
      <c r="A67" s="182"/>
      <c r="B67" s="182"/>
      <c r="C67" s="182"/>
      <c r="D67" s="182"/>
      <c r="E67" s="182"/>
      <c r="F67" s="182" t="s">
        <v>215</v>
      </c>
      <c r="G67" s="182"/>
      <c r="H67" s="183">
        <v>7150</v>
      </c>
      <c r="I67" s="184"/>
      <c r="J67" s="183">
        <v>2780.04</v>
      </c>
      <c r="K67" s="184"/>
      <c r="L67" s="183">
        <v>1597.72</v>
      </c>
      <c r="M67" s="184"/>
      <c r="N67" s="183">
        <v>0</v>
      </c>
      <c r="O67" s="184"/>
      <c r="P67" s="183">
        <v>0</v>
      </c>
      <c r="Q67" s="184"/>
      <c r="R67" s="183">
        <v>2170.34</v>
      </c>
      <c r="S67" s="184"/>
      <c r="T67" s="183">
        <v>460.2</v>
      </c>
      <c r="U67" s="184"/>
      <c r="V67" s="183">
        <v>963.85</v>
      </c>
      <c r="W67" s="184"/>
      <c r="X67" s="183">
        <v>849.38</v>
      </c>
      <c r="Y67" s="184"/>
      <c r="Z67" s="183">
        <v>523.59</v>
      </c>
      <c r="AA67" s="184"/>
      <c r="AB67" s="183">
        <v>460.2</v>
      </c>
      <c r="AC67" s="184"/>
      <c r="AD67" s="183">
        <v>460.2</v>
      </c>
      <c r="AE67" s="184"/>
      <c r="AF67" s="183">
        <f t="shared" si="2"/>
        <v>17415.52</v>
      </c>
    </row>
    <row r="68" spans="1:32">
      <c r="A68" s="182"/>
      <c r="B68" s="182"/>
      <c r="C68" s="182"/>
      <c r="D68" s="182"/>
      <c r="E68" s="182"/>
      <c r="F68" s="182" t="s">
        <v>216</v>
      </c>
      <c r="G68" s="182"/>
      <c r="H68" s="183">
        <v>460.2</v>
      </c>
      <c r="I68" s="184"/>
      <c r="J68" s="183">
        <v>460.2</v>
      </c>
      <c r="K68" s="184"/>
      <c r="L68" s="183">
        <v>920.4</v>
      </c>
      <c r="M68" s="184"/>
      <c r="N68" s="183">
        <v>0</v>
      </c>
      <c r="O68" s="184"/>
      <c r="P68" s="183">
        <v>460.2</v>
      </c>
      <c r="Q68" s="184"/>
      <c r="R68" s="183">
        <v>460.2</v>
      </c>
      <c r="S68" s="184"/>
      <c r="T68" s="183">
        <v>0</v>
      </c>
      <c r="U68" s="184"/>
      <c r="V68" s="183">
        <v>0</v>
      </c>
      <c r="W68" s="184"/>
      <c r="X68" s="183">
        <v>0</v>
      </c>
      <c r="Y68" s="184"/>
      <c r="Z68" s="183">
        <v>0</v>
      </c>
      <c r="AA68" s="184"/>
      <c r="AB68" s="183">
        <v>0</v>
      </c>
      <c r="AC68" s="184"/>
      <c r="AD68" s="183">
        <v>0</v>
      </c>
      <c r="AE68" s="184"/>
      <c r="AF68" s="183">
        <f t="shared" si="2"/>
        <v>2761.2</v>
      </c>
    </row>
    <row r="69" spans="1:32">
      <c r="A69" s="182"/>
      <c r="B69" s="182"/>
      <c r="C69" s="182"/>
      <c r="D69" s="182"/>
      <c r="E69" s="182"/>
      <c r="F69" s="182" t="s">
        <v>217</v>
      </c>
      <c r="G69" s="182"/>
      <c r="H69" s="183">
        <v>13576.31</v>
      </c>
      <c r="I69" s="184"/>
      <c r="J69" s="183">
        <v>12884.13</v>
      </c>
      <c r="K69" s="184"/>
      <c r="L69" s="183">
        <v>24800.26</v>
      </c>
      <c r="M69" s="184"/>
      <c r="N69" s="183">
        <v>262</v>
      </c>
      <c r="O69" s="184"/>
      <c r="P69" s="183">
        <v>12662.13</v>
      </c>
      <c r="Q69" s="184"/>
      <c r="R69" s="183">
        <v>12662.13</v>
      </c>
      <c r="S69" s="184"/>
      <c r="T69" s="183">
        <v>13816.93</v>
      </c>
      <c r="U69" s="184"/>
      <c r="V69" s="183">
        <v>12764.93</v>
      </c>
      <c r="W69" s="184"/>
      <c r="X69" s="183">
        <v>13026.93</v>
      </c>
      <c r="Y69" s="184"/>
      <c r="Z69" s="183">
        <v>12381.33</v>
      </c>
      <c r="AA69" s="184"/>
      <c r="AB69" s="183">
        <v>12400.13</v>
      </c>
      <c r="AC69" s="184"/>
      <c r="AD69" s="183">
        <v>12400.13</v>
      </c>
      <c r="AE69" s="184"/>
      <c r="AF69" s="183">
        <f t="shared" si="2"/>
        <v>153637.34</v>
      </c>
    </row>
    <row r="70" spans="1:32">
      <c r="A70" s="182"/>
      <c r="B70" s="182"/>
      <c r="C70" s="182"/>
      <c r="D70" s="182"/>
      <c r="E70" s="182"/>
      <c r="F70" s="182" t="s">
        <v>218</v>
      </c>
      <c r="G70" s="182"/>
      <c r="H70" s="183">
        <v>39.950000000000003</v>
      </c>
      <c r="I70" s="184"/>
      <c r="J70" s="183">
        <v>1963.95</v>
      </c>
      <c r="K70" s="184"/>
      <c r="L70" s="183">
        <v>8087.8</v>
      </c>
      <c r="M70" s="184"/>
      <c r="N70" s="183">
        <v>4632.8999999999996</v>
      </c>
      <c r="O70" s="184"/>
      <c r="P70" s="183">
        <v>5068.8999999999996</v>
      </c>
      <c r="Q70" s="184"/>
      <c r="R70" s="183">
        <v>3718.9</v>
      </c>
      <c r="S70" s="184"/>
      <c r="T70" s="183">
        <v>2600.9</v>
      </c>
      <c r="U70" s="184"/>
      <c r="V70" s="183">
        <v>5213.8999999999996</v>
      </c>
      <c r="W70" s="184"/>
      <c r="X70" s="183">
        <v>3484.9</v>
      </c>
      <c r="Y70" s="184"/>
      <c r="Z70" s="183">
        <v>3484.9</v>
      </c>
      <c r="AA70" s="184"/>
      <c r="AB70" s="183">
        <v>3484.9</v>
      </c>
      <c r="AC70" s="184"/>
      <c r="AD70" s="183">
        <v>0</v>
      </c>
      <c r="AE70" s="184"/>
      <c r="AF70" s="183">
        <f t="shared" si="2"/>
        <v>41781.9</v>
      </c>
    </row>
    <row r="71" spans="1:32">
      <c r="A71" s="182"/>
      <c r="B71" s="182"/>
      <c r="C71" s="182"/>
      <c r="D71" s="182"/>
      <c r="E71" s="182"/>
      <c r="F71" s="182" t="s">
        <v>219</v>
      </c>
      <c r="G71" s="182"/>
      <c r="H71" s="183">
        <v>0</v>
      </c>
      <c r="I71" s="184"/>
      <c r="J71" s="183">
        <v>0</v>
      </c>
      <c r="K71" s="184"/>
      <c r="L71" s="183">
        <v>0</v>
      </c>
      <c r="M71" s="184"/>
      <c r="N71" s="183">
        <v>750</v>
      </c>
      <c r="O71" s="184"/>
      <c r="P71" s="183">
        <v>460.5</v>
      </c>
      <c r="Q71" s="184"/>
      <c r="R71" s="183">
        <v>85</v>
      </c>
      <c r="S71" s="184"/>
      <c r="T71" s="183">
        <v>85</v>
      </c>
      <c r="U71" s="184"/>
      <c r="V71" s="183">
        <v>85</v>
      </c>
      <c r="W71" s="184"/>
      <c r="X71" s="183">
        <v>85</v>
      </c>
      <c r="Y71" s="184"/>
      <c r="Z71" s="183">
        <v>85</v>
      </c>
      <c r="AA71" s="184"/>
      <c r="AB71" s="183">
        <v>85</v>
      </c>
      <c r="AC71" s="184"/>
      <c r="AD71" s="183">
        <v>85</v>
      </c>
      <c r="AE71" s="184"/>
      <c r="AF71" s="183">
        <f t="shared" si="2"/>
        <v>1805.5</v>
      </c>
    </row>
    <row r="72" spans="1:32">
      <c r="A72" s="182"/>
      <c r="B72" s="182"/>
      <c r="C72" s="182"/>
      <c r="D72" s="182"/>
      <c r="E72" s="182"/>
      <c r="F72" s="182" t="s">
        <v>220</v>
      </c>
      <c r="G72" s="182"/>
      <c r="H72" s="183">
        <v>0</v>
      </c>
      <c r="I72" s="184"/>
      <c r="J72" s="183">
        <v>0</v>
      </c>
      <c r="K72" s="184"/>
      <c r="L72" s="183">
        <v>0</v>
      </c>
      <c r="M72" s="184"/>
      <c r="N72" s="183">
        <v>0</v>
      </c>
      <c r="O72" s="184"/>
      <c r="P72" s="183">
        <v>150</v>
      </c>
      <c r="Q72" s="184"/>
      <c r="R72" s="183">
        <v>211</v>
      </c>
      <c r="S72" s="184"/>
      <c r="T72" s="183">
        <v>0</v>
      </c>
      <c r="U72" s="184"/>
      <c r="V72" s="183">
        <v>0</v>
      </c>
      <c r="W72" s="184"/>
      <c r="X72" s="183">
        <v>8890</v>
      </c>
      <c r="Y72" s="184"/>
      <c r="Z72" s="183">
        <v>-150</v>
      </c>
      <c r="AA72" s="184"/>
      <c r="AB72" s="183">
        <v>0</v>
      </c>
      <c r="AC72" s="184"/>
      <c r="AD72" s="183">
        <v>0</v>
      </c>
      <c r="AE72" s="184"/>
      <c r="AF72" s="183">
        <f t="shared" si="2"/>
        <v>9101</v>
      </c>
    </row>
    <row r="73" spans="1:32">
      <c r="A73" s="182"/>
      <c r="B73" s="182"/>
      <c r="C73" s="182"/>
      <c r="D73" s="182"/>
      <c r="E73" s="182"/>
      <c r="F73" s="182" t="s">
        <v>221</v>
      </c>
      <c r="G73" s="182"/>
      <c r="H73" s="183">
        <v>0</v>
      </c>
      <c r="I73" s="184"/>
      <c r="J73" s="183">
        <v>0</v>
      </c>
      <c r="K73" s="184"/>
      <c r="L73" s="183">
        <v>0</v>
      </c>
      <c r="M73" s="184"/>
      <c r="N73" s="183">
        <v>0</v>
      </c>
      <c r="O73" s="184"/>
      <c r="P73" s="183">
        <v>20</v>
      </c>
      <c r="Q73" s="184"/>
      <c r="R73" s="183">
        <v>0</v>
      </c>
      <c r="S73" s="184"/>
      <c r="T73" s="183">
        <v>0</v>
      </c>
      <c r="U73" s="184"/>
      <c r="V73" s="183">
        <v>0</v>
      </c>
      <c r="W73" s="184"/>
      <c r="X73" s="183">
        <v>0</v>
      </c>
      <c r="Y73" s="184"/>
      <c r="Z73" s="183">
        <v>0</v>
      </c>
      <c r="AA73" s="184"/>
      <c r="AB73" s="183">
        <v>0</v>
      </c>
      <c r="AC73" s="184"/>
      <c r="AD73" s="183">
        <v>0</v>
      </c>
      <c r="AE73" s="184"/>
      <c r="AF73" s="183">
        <f t="shared" si="2"/>
        <v>20</v>
      </c>
    </row>
    <row r="74" spans="1:32">
      <c r="A74" s="182"/>
      <c r="B74" s="182"/>
      <c r="C74" s="182"/>
      <c r="D74" s="182"/>
      <c r="E74" s="182"/>
      <c r="F74" s="182" t="s">
        <v>222</v>
      </c>
      <c r="G74" s="182"/>
      <c r="H74" s="183">
        <v>0</v>
      </c>
      <c r="I74" s="184"/>
      <c r="J74" s="183">
        <v>0</v>
      </c>
      <c r="K74" s="184"/>
      <c r="L74" s="183">
        <v>0</v>
      </c>
      <c r="M74" s="184"/>
      <c r="N74" s="183">
        <v>0</v>
      </c>
      <c r="O74" s="184"/>
      <c r="P74" s="183">
        <v>0</v>
      </c>
      <c r="Q74" s="184"/>
      <c r="R74" s="183">
        <v>1415.29</v>
      </c>
      <c r="S74" s="184"/>
      <c r="T74" s="183">
        <v>525.5</v>
      </c>
      <c r="U74" s="184"/>
      <c r="V74" s="183">
        <v>0</v>
      </c>
      <c r="W74" s="184"/>
      <c r="X74" s="183">
        <v>0</v>
      </c>
      <c r="Y74" s="184"/>
      <c r="Z74" s="183">
        <v>0</v>
      </c>
      <c r="AA74" s="184"/>
      <c r="AB74" s="183">
        <v>0</v>
      </c>
      <c r="AC74" s="184"/>
      <c r="AD74" s="183">
        <v>0</v>
      </c>
      <c r="AE74" s="184"/>
      <c r="AF74" s="183">
        <f t="shared" si="2"/>
        <v>1940.79</v>
      </c>
    </row>
    <row r="75" spans="1:32">
      <c r="A75" s="182"/>
      <c r="B75" s="182"/>
      <c r="C75" s="182"/>
      <c r="D75" s="182"/>
      <c r="E75" s="182"/>
      <c r="F75" s="182" t="s">
        <v>223</v>
      </c>
      <c r="G75" s="182"/>
      <c r="H75" s="183">
        <v>1181.52</v>
      </c>
      <c r="I75" s="184"/>
      <c r="J75" s="183">
        <v>1181.52</v>
      </c>
      <c r="K75" s="184"/>
      <c r="L75" s="183">
        <v>1181.52</v>
      </c>
      <c r="M75" s="184"/>
      <c r="N75" s="183">
        <v>1181.52</v>
      </c>
      <c r="O75" s="184"/>
      <c r="P75" s="183">
        <v>1181.52</v>
      </c>
      <c r="Q75" s="184"/>
      <c r="R75" s="183">
        <v>1181.52</v>
      </c>
      <c r="S75" s="184"/>
      <c r="T75" s="183">
        <v>1181.52</v>
      </c>
      <c r="U75" s="184"/>
      <c r="V75" s="183">
        <v>1181.52</v>
      </c>
      <c r="W75" s="184"/>
      <c r="X75" s="183">
        <v>1181.52</v>
      </c>
      <c r="Y75" s="184"/>
      <c r="Z75" s="183">
        <v>1181.52</v>
      </c>
      <c r="AA75" s="184"/>
      <c r="AB75" s="183">
        <v>1181.52</v>
      </c>
      <c r="AC75" s="184"/>
      <c r="AD75" s="183">
        <v>1181.52</v>
      </c>
      <c r="AE75" s="184"/>
      <c r="AF75" s="183">
        <f t="shared" si="2"/>
        <v>14178.24</v>
      </c>
    </row>
    <row r="76" spans="1:32">
      <c r="A76" s="182"/>
      <c r="B76" s="182"/>
      <c r="C76" s="182"/>
      <c r="D76" s="182"/>
      <c r="E76" s="182"/>
      <c r="F76" s="182" t="s">
        <v>224</v>
      </c>
      <c r="G76" s="182"/>
      <c r="H76" s="183">
        <v>0</v>
      </c>
      <c r="I76" s="184"/>
      <c r="J76" s="183">
        <v>85.31</v>
      </c>
      <c r="K76" s="184"/>
      <c r="L76" s="183">
        <v>149.24</v>
      </c>
      <c r="M76" s="184"/>
      <c r="N76" s="183">
        <v>0</v>
      </c>
      <c r="O76" s="184"/>
      <c r="P76" s="183">
        <v>32.07</v>
      </c>
      <c r="Q76" s="184"/>
      <c r="R76" s="183">
        <v>0</v>
      </c>
      <c r="S76" s="184"/>
      <c r="T76" s="183">
        <v>0</v>
      </c>
      <c r="U76" s="184"/>
      <c r="V76" s="183">
        <v>145.31</v>
      </c>
      <c r="W76" s="184"/>
      <c r="X76" s="183">
        <v>0</v>
      </c>
      <c r="Y76" s="184"/>
      <c r="Z76" s="183">
        <v>0</v>
      </c>
      <c r="AA76" s="184"/>
      <c r="AB76" s="183">
        <v>0</v>
      </c>
      <c r="AC76" s="184"/>
      <c r="AD76" s="183">
        <v>0</v>
      </c>
      <c r="AE76" s="184"/>
      <c r="AF76" s="183">
        <f t="shared" si="2"/>
        <v>411.93</v>
      </c>
    </row>
    <row r="77" spans="1:32">
      <c r="A77" s="182"/>
      <c r="B77" s="182"/>
      <c r="C77" s="182"/>
      <c r="D77" s="182"/>
      <c r="E77" s="182"/>
      <c r="F77" s="182" t="s">
        <v>225</v>
      </c>
      <c r="G77" s="182"/>
      <c r="H77" s="183">
        <v>0</v>
      </c>
      <c r="I77" s="184"/>
      <c r="J77" s="183">
        <v>5.99</v>
      </c>
      <c r="K77" s="184"/>
      <c r="L77" s="183">
        <v>5.99</v>
      </c>
      <c r="M77" s="184"/>
      <c r="N77" s="183">
        <v>5.99</v>
      </c>
      <c r="O77" s="184"/>
      <c r="P77" s="183">
        <v>5.99</v>
      </c>
      <c r="Q77" s="184"/>
      <c r="R77" s="183">
        <v>5.99</v>
      </c>
      <c r="S77" s="184"/>
      <c r="T77" s="183">
        <v>5.99</v>
      </c>
      <c r="U77" s="184"/>
      <c r="V77" s="183">
        <v>5.99</v>
      </c>
      <c r="W77" s="184"/>
      <c r="X77" s="183">
        <v>5.99</v>
      </c>
      <c r="Y77" s="184"/>
      <c r="Z77" s="183">
        <v>5.99</v>
      </c>
      <c r="AA77" s="184"/>
      <c r="AB77" s="183">
        <v>5.99</v>
      </c>
      <c r="AC77" s="184"/>
      <c r="AD77" s="183">
        <v>5.99</v>
      </c>
      <c r="AE77" s="184"/>
      <c r="AF77" s="183">
        <f t="shared" si="2"/>
        <v>65.89</v>
      </c>
    </row>
    <row r="78" spans="1:32">
      <c r="A78" s="182"/>
      <c r="B78" s="182"/>
      <c r="C78" s="182"/>
      <c r="D78" s="182"/>
      <c r="E78" s="182"/>
      <c r="F78" s="182" t="s">
        <v>226</v>
      </c>
      <c r="G78" s="182"/>
      <c r="H78" s="183">
        <v>34.56</v>
      </c>
      <c r="I78" s="184"/>
      <c r="J78" s="183">
        <v>0</v>
      </c>
      <c r="K78" s="184"/>
      <c r="L78" s="183">
        <v>35.54</v>
      </c>
      <c r="M78" s="184"/>
      <c r="N78" s="183">
        <v>0</v>
      </c>
      <c r="O78" s="184"/>
      <c r="P78" s="183">
        <v>0</v>
      </c>
      <c r="Q78" s="184"/>
      <c r="R78" s="183">
        <v>0</v>
      </c>
      <c r="S78" s="184"/>
      <c r="T78" s="183">
        <v>0</v>
      </c>
      <c r="U78" s="184"/>
      <c r="V78" s="183">
        <v>0</v>
      </c>
      <c r="W78" s="184"/>
      <c r="X78" s="183">
        <v>0</v>
      </c>
      <c r="Y78" s="184"/>
      <c r="Z78" s="183">
        <v>0</v>
      </c>
      <c r="AA78" s="184"/>
      <c r="AB78" s="183">
        <v>0</v>
      </c>
      <c r="AC78" s="184"/>
      <c r="AD78" s="183">
        <v>0</v>
      </c>
      <c r="AE78" s="184"/>
      <c r="AF78" s="183">
        <f t="shared" si="2"/>
        <v>70.099999999999994</v>
      </c>
    </row>
    <row r="79" spans="1:32">
      <c r="A79" s="182"/>
      <c r="B79" s="182"/>
      <c r="C79" s="182"/>
      <c r="D79" s="182"/>
      <c r="E79" s="182"/>
      <c r="F79" s="182" t="s">
        <v>227</v>
      </c>
      <c r="G79" s="182"/>
      <c r="H79" s="183">
        <v>5711.29</v>
      </c>
      <c r="I79" s="184"/>
      <c r="J79" s="183">
        <v>2846.33</v>
      </c>
      <c r="K79" s="184"/>
      <c r="L79" s="183">
        <v>50</v>
      </c>
      <c r="M79" s="184"/>
      <c r="N79" s="183">
        <v>50</v>
      </c>
      <c r="O79" s="184"/>
      <c r="P79" s="183">
        <v>50</v>
      </c>
      <c r="Q79" s="184"/>
      <c r="R79" s="183">
        <v>2846.33</v>
      </c>
      <c r="S79" s="184"/>
      <c r="T79" s="183">
        <v>50</v>
      </c>
      <c r="U79" s="184"/>
      <c r="V79" s="183">
        <v>50</v>
      </c>
      <c r="W79" s="184"/>
      <c r="X79" s="183">
        <v>410</v>
      </c>
      <c r="Y79" s="184"/>
      <c r="Z79" s="183">
        <v>0</v>
      </c>
      <c r="AA79" s="184"/>
      <c r="AB79" s="183">
        <v>8000</v>
      </c>
      <c r="AC79" s="184"/>
      <c r="AD79" s="183">
        <v>8000</v>
      </c>
      <c r="AE79" s="184"/>
      <c r="AF79" s="183">
        <f t="shared" si="2"/>
        <v>28063.95</v>
      </c>
    </row>
    <row r="80" spans="1:32">
      <c r="A80" s="182"/>
      <c r="B80" s="182"/>
      <c r="C80" s="182"/>
      <c r="D80" s="182"/>
      <c r="E80" s="182"/>
      <c r="F80" s="182" t="s">
        <v>228</v>
      </c>
      <c r="G80" s="182"/>
      <c r="H80" s="183">
        <v>1899.99</v>
      </c>
      <c r="I80" s="184"/>
      <c r="J80" s="183">
        <v>1899.99</v>
      </c>
      <c r="K80" s="184"/>
      <c r="L80" s="183">
        <v>1908.94</v>
      </c>
      <c r="M80" s="184"/>
      <c r="N80" s="183">
        <v>1899.99</v>
      </c>
      <c r="O80" s="184"/>
      <c r="P80" s="183">
        <v>1899.99</v>
      </c>
      <c r="Q80" s="184"/>
      <c r="R80" s="183">
        <v>1908.94</v>
      </c>
      <c r="S80" s="184"/>
      <c r="T80" s="183">
        <v>2017.88</v>
      </c>
      <c r="U80" s="184"/>
      <c r="V80" s="183">
        <v>1899</v>
      </c>
      <c r="W80" s="184"/>
      <c r="X80" s="183">
        <v>-13800</v>
      </c>
      <c r="Y80" s="184"/>
      <c r="Z80" s="183">
        <v>219</v>
      </c>
      <c r="AA80" s="184"/>
      <c r="AB80" s="183">
        <v>0</v>
      </c>
      <c r="AC80" s="184"/>
      <c r="AD80" s="183">
        <v>0</v>
      </c>
      <c r="AE80" s="184"/>
      <c r="AF80" s="183">
        <f t="shared" si="2"/>
        <v>1753.72</v>
      </c>
    </row>
    <row r="81" spans="1:32">
      <c r="A81" s="182"/>
      <c r="B81" s="182"/>
      <c r="C81" s="182"/>
      <c r="D81" s="182"/>
      <c r="E81" s="182"/>
      <c r="F81" s="182" t="s">
        <v>229</v>
      </c>
      <c r="G81" s="182"/>
      <c r="H81" s="183">
        <v>2578.77</v>
      </c>
      <c r="I81" s="184"/>
      <c r="J81" s="183">
        <v>2287.16</v>
      </c>
      <c r="K81" s="184"/>
      <c r="L81" s="183">
        <v>3372.87</v>
      </c>
      <c r="M81" s="184"/>
      <c r="N81" s="183">
        <v>2703.21</v>
      </c>
      <c r="O81" s="184"/>
      <c r="P81" s="183">
        <v>2300.2600000000002</v>
      </c>
      <c r="Q81" s="184"/>
      <c r="R81" s="183">
        <v>2161.2199999999998</v>
      </c>
      <c r="S81" s="184"/>
      <c r="T81" s="183">
        <v>2005.08</v>
      </c>
      <c r="U81" s="184"/>
      <c r="V81" s="183">
        <v>2307.52</v>
      </c>
      <c r="W81" s="184"/>
      <c r="X81" s="183">
        <v>2151.37</v>
      </c>
      <c r="Y81" s="184"/>
      <c r="Z81" s="183">
        <v>2151.37</v>
      </c>
      <c r="AA81" s="184"/>
      <c r="AB81" s="183">
        <v>2151.37</v>
      </c>
      <c r="AC81" s="184"/>
      <c r="AD81" s="183">
        <v>2151.37</v>
      </c>
      <c r="AE81" s="184"/>
      <c r="AF81" s="183">
        <f t="shared" si="2"/>
        <v>28321.57</v>
      </c>
    </row>
    <row r="82" spans="1:32">
      <c r="A82" s="182"/>
      <c r="B82" s="182"/>
      <c r="C82" s="182"/>
      <c r="D82" s="182"/>
      <c r="E82" s="182"/>
      <c r="F82" s="182" t="s">
        <v>230</v>
      </c>
      <c r="G82" s="182"/>
      <c r="H82" s="183">
        <v>411.36</v>
      </c>
      <c r="I82" s="184"/>
      <c r="J82" s="183">
        <v>411.36</v>
      </c>
      <c r="K82" s="184"/>
      <c r="L82" s="183">
        <v>411.89</v>
      </c>
      <c r="M82" s="184"/>
      <c r="N82" s="183">
        <v>449.82</v>
      </c>
      <c r="O82" s="184"/>
      <c r="P82" s="183">
        <v>625.25</v>
      </c>
      <c r="Q82" s="184"/>
      <c r="R82" s="183">
        <v>0</v>
      </c>
      <c r="S82" s="184"/>
      <c r="T82" s="183">
        <v>1574.18</v>
      </c>
      <c r="U82" s="184"/>
      <c r="V82" s="183">
        <v>784.04</v>
      </c>
      <c r="W82" s="184"/>
      <c r="X82" s="183">
        <v>765</v>
      </c>
      <c r="Y82" s="184"/>
      <c r="Z82" s="183">
        <v>765</v>
      </c>
      <c r="AA82" s="184"/>
      <c r="AB82" s="183">
        <v>765</v>
      </c>
      <c r="AC82" s="184"/>
      <c r="AD82" s="183">
        <v>765</v>
      </c>
      <c r="AE82" s="184"/>
      <c r="AF82" s="183">
        <f t="shared" si="2"/>
        <v>7727.9</v>
      </c>
    </row>
    <row r="83" spans="1:32">
      <c r="A83" s="182"/>
      <c r="B83" s="182"/>
      <c r="C83" s="182"/>
      <c r="D83" s="182"/>
      <c r="E83" s="182"/>
      <c r="F83" s="182" t="s">
        <v>231</v>
      </c>
      <c r="G83" s="182"/>
      <c r="H83" s="183">
        <v>9000</v>
      </c>
      <c r="I83" s="184"/>
      <c r="J83" s="183">
        <v>8973.15</v>
      </c>
      <c r="K83" s="184"/>
      <c r="L83" s="183">
        <v>16644</v>
      </c>
      <c r="M83" s="184"/>
      <c r="N83" s="183">
        <v>16732.5</v>
      </c>
      <c r="O83" s="184"/>
      <c r="P83" s="183">
        <v>14106.35</v>
      </c>
      <c r="Q83" s="184"/>
      <c r="R83" s="183">
        <v>12843.3</v>
      </c>
      <c r="S83" s="184"/>
      <c r="T83" s="183">
        <v>11544</v>
      </c>
      <c r="U83" s="184"/>
      <c r="V83" s="183">
        <v>15661.9</v>
      </c>
      <c r="W83" s="184"/>
      <c r="X83" s="183">
        <v>13838.65</v>
      </c>
      <c r="Y83" s="184"/>
      <c r="Z83" s="183">
        <v>13838.65</v>
      </c>
      <c r="AA83" s="184"/>
      <c r="AB83" s="183">
        <v>13838.65</v>
      </c>
      <c r="AC83" s="184"/>
      <c r="AD83" s="183">
        <f>+AB83</f>
        <v>13838.65</v>
      </c>
      <c r="AE83" s="184"/>
      <c r="AF83" s="183">
        <f t="shared" si="2"/>
        <v>160859.79999999999</v>
      </c>
    </row>
    <row r="84" spans="1:32">
      <c r="A84" s="182"/>
      <c r="B84" s="182"/>
      <c r="C84" s="182"/>
      <c r="D84" s="182"/>
      <c r="E84" s="182"/>
      <c r="F84" s="182" t="s">
        <v>232</v>
      </c>
      <c r="G84" s="182"/>
      <c r="H84" s="183">
        <v>4800</v>
      </c>
      <c r="I84" s="184"/>
      <c r="J84" s="183">
        <v>1800</v>
      </c>
      <c r="K84" s="184"/>
      <c r="L84" s="183">
        <v>14010</v>
      </c>
      <c r="M84" s="184"/>
      <c r="N84" s="183">
        <v>20820</v>
      </c>
      <c r="O84" s="184"/>
      <c r="P84" s="183">
        <v>11090</v>
      </c>
      <c r="Q84" s="184"/>
      <c r="R84" s="183">
        <v>9760</v>
      </c>
      <c r="S84" s="184"/>
      <c r="T84" s="183">
        <v>9675</v>
      </c>
      <c r="U84" s="184"/>
      <c r="V84" s="183">
        <v>16490</v>
      </c>
      <c r="W84" s="184"/>
      <c r="X84" s="183">
        <v>9925</v>
      </c>
      <c r="Y84" s="184"/>
      <c r="Z84" s="183">
        <f>1275+7600</f>
        <v>8875</v>
      </c>
      <c r="AA84" s="184"/>
      <c r="AB84" s="183">
        <f>1275+7600</f>
        <v>8875</v>
      </c>
      <c r="AC84" s="184"/>
      <c r="AD84" s="183">
        <v>0</v>
      </c>
      <c r="AE84" s="184"/>
      <c r="AF84" s="183">
        <f t="shared" si="2"/>
        <v>116120</v>
      </c>
    </row>
    <row r="85" spans="1:32" ht="15" thickBot="1">
      <c r="A85" s="182"/>
      <c r="B85" s="182"/>
      <c r="C85" s="182"/>
      <c r="D85" s="182"/>
      <c r="E85" s="182"/>
      <c r="F85" s="182" t="s">
        <v>233</v>
      </c>
      <c r="G85" s="182"/>
      <c r="H85" s="185">
        <v>0</v>
      </c>
      <c r="I85" s="184"/>
      <c r="J85" s="185">
        <v>0</v>
      </c>
      <c r="K85" s="184"/>
      <c r="L85" s="185">
        <v>0</v>
      </c>
      <c r="M85" s="184"/>
      <c r="N85" s="185">
        <v>0</v>
      </c>
      <c r="O85" s="184"/>
      <c r="P85" s="185">
        <v>-153.38</v>
      </c>
      <c r="Q85" s="184"/>
      <c r="R85" s="185">
        <v>224.53</v>
      </c>
      <c r="S85" s="184"/>
      <c r="T85" s="185">
        <v>19234.45</v>
      </c>
      <c r="U85" s="184"/>
      <c r="V85" s="185">
        <v>14383</v>
      </c>
      <c r="W85" s="184"/>
      <c r="X85" s="185">
        <v>0</v>
      </c>
      <c r="Y85" s="184"/>
      <c r="Z85" s="185">
        <v>0</v>
      </c>
      <c r="AA85" s="184"/>
      <c r="AB85" s="185">
        <v>0</v>
      </c>
      <c r="AC85" s="184"/>
      <c r="AD85" s="185">
        <v>0</v>
      </c>
      <c r="AE85" s="184"/>
      <c r="AF85" s="185">
        <f t="shared" si="2"/>
        <v>33688.6</v>
      </c>
    </row>
    <row r="86" spans="1:32">
      <c r="A86" s="182"/>
      <c r="B86" s="182"/>
      <c r="C86" s="182"/>
      <c r="D86" s="182"/>
      <c r="E86" s="182" t="s">
        <v>234</v>
      </c>
      <c r="F86" s="182"/>
      <c r="G86" s="182"/>
      <c r="H86" s="183">
        <f>ROUND(SUM(H48:H49)+SUM(H53:H85),5)</f>
        <v>89742.35</v>
      </c>
      <c r="I86" s="184"/>
      <c r="J86" s="183">
        <f>ROUND(SUM(J48:J49)+SUM(J53:J85),5)</f>
        <v>81444.87</v>
      </c>
      <c r="K86" s="184"/>
      <c r="L86" s="183">
        <f>ROUND(SUM(L48:L49)+SUM(L53:L85),5)</f>
        <v>138372.97</v>
      </c>
      <c r="M86" s="184"/>
      <c r="N86" s="183">
        <f>ROUND(SUM(N48:N49)+SUM(N53:N85),5)</f>
        <v>103981.64</v>
      </c>
      <c r="O86" s="184"/>
      <c r="P86" s="183">
        <f>ROUND(SUM(P48:P49)+SUM(P53:P85),5)</f>
        <v>84763.73</v>
      </c>
      <c r="Q86" s="184"/>
      <c r="R86" s="183">
        <f>ROUND(SUM(R48:R49)+SUM(R53:R85),5)</f>
        <v>102141.84</v>
      </c>
      <c r="S86" s="184"/>
      <c r="T86" s="183">
        <f>ROUND(SUM(T48:T49)+SUM(T53:T85),5)</f>
        <v>99822.64</v>
      </c>
      <c r="U86" s="184"/>
      <c r="V86" s="183">
        <f>ROUND(SUM(V48:V49)+SUM(V53:V85),5)</f>
        <v>132703.65</v>
      </c>
      <c r="W86" s="184"/>
      <c r="X86" s="183">
        <f>ROUND(SUM(X48:X49)+SUM(X53:X85),5)</f>
        <v>80558.3</v>
      </c>
      <c r="Y86" s="184"/>
      <c r="Z86" s="183">
        <f>ROUND(SUM(Z48:Z49)+SUM(Z53:Z85),5)</f>
        <v>76540.23</v>
      </c>
      <c r="AA86" s="184"/>
      <c r="AB86" s="183">
        <f>ROUND(SUM(AB48:AB49)+SUM(AB53:AB85),5)</f>
        <v>83651.64</v>
      </c>
      <c r="AC86" s="184"/>
      <c r="AD86" s="183">
        <f>ROUND(SUM(AD48:AD49)+SUM(AD53:AD85),5)</f>
        <v>65955.64</v>
      </c>
      <c r="AE86" s="184"/>
      <c r="AF86" s="183">
        <f t="shared" si="2"/>
        <v>1139679.5</v>
      </c>
    </row>
    <row r="87" spans="1:32">
      <c r="A87" s="182"/>
      <c r="B87" s="182"/>
      <c r="C87" s="182"/>
      <c r="D87" s="182"/>
      <c r="E87" s="182" t="s">
        <v>235</v>
      </c>
      <c r="F87" s="182"/>
      <c r="G87" s="182"/>
      <c r="H87" s="183"/>
      <c r="I87" s="184"/>
      <c r="J87" s="183"/>
      <c r="K87" s="184"/>
      <c r="L87" s="183"/>
      <c r="M87" s="184"/>
      <c r="N87" s="183"/>
      <c r="O87" s="184"/>
      <c r="P87" s="183"/>
      <c r="Q87" s="184"/>
      <c r="R87" s="183"/>
      <c r="S87" s="184"/>
      <c r="T87" s="183"/>
      <c r="U87" s="184"/>
      <c r="V87" s="183"/>
      <c r="W87" s="184"/>
      <c r="X87" s="183"/>
      <c r="Y87" s="184"/>
      <c r="Z87" s="183"/>
      <c r="AA87" s="184"/>
      <c r="AB87" s="183"/>
      <c r="AC87" s="184"/>
      <c r="AD87" s="183"/>
      <c r="AE87" s="184"/>
      <c r="AF87" s="183"/>
    </row>
    <row r="88" spans="1:32">
      <c r="A88" s="182"/>
      <c r="B88" s="182"/>
      <c r="C88" s="182"/>
      <c r="D88" s="182"/>
      <c r="E88" s="182"/>
      <c r="F88" s="182" t="s">
        <v>236</v>
      </c>
      <c r="G88" s="182"/>
      <c r="H88" s="183">
        <v>8517.74</v>
      </c>
      <c r="I88" s="184"/>
      <c r="J88" s="183">
        <v>28472.26</v>
      </c>
      <c r="K88" s="184"/>
      <c r="L88" s="183">
        <v>0</v>
      </c>
      <c r="M88" s="184"/>
      <c r="N88" s="183">
        <v>-1517.67</v>
      </c>
      <c r="O88" s="184"/>
      <c r="P88" s="183">
        <v>1086</v>
      </c>
      <c r="Q88" s="184"/>
      <c r="R88" s="183">
        <v>214.93</v>
      </c>
      <c r="S88" s="184"/>
      <c r="T88" s="183">
        <v>0</v>
      </c>
      <c r="U88" s="184"/>
      <c r="V88" s="183">
        <v>20.61</v>
      </c>
      <c r="W88" s="184"/>
      <c r="X88" s="183">
        <v>0</v>
      </c>
      <c r="Y88" s="184"/>
      <c r="Z88" s="183">
        <v>0</v>
      </c>
      <c r="AA88" s="184"/>
      <c r="AB88" s="183">
        <v>0</v>
      </c>
      <c r="AC88" s="184"/>
      <c r="AD88" s="183">
        <v>0</v>
      </c>
      <c r="AE88" s="184"/>
      <c r="AF88" s="183">
        <f t="shared" ref="AF88:AF97" si="3">ROUND(SUM(H88:AD88),5)</f>
        <v>36793.870000000003</v>
      </c>
    </row>
    <row r="89" spans="1:32">
      <c r="A89" s="182"/>
      <c r="B89" s="182"/>
      <c r="C89" s="182"/>
      <c r="D89" s="182"/>
      <c r="E89" s="182"/>
      <c r="F89" s="182" t="s">
        <v>237</v>
      </c>
      <c r="G89" s="182"/>
      <c r="H89" s="183">
        <v>1535.8</v>
      </c>
      <c r="I89" s="184"/>
      <c r="J89" s="183">
        <v>8449.77</v>
      </c>
      <c r="K89" s="184"/>
      <c r="L89" s="183">
        <v>1918.87</v>
      </c>
      <c r="M89" s="184"/>
      <c r="N89" s="183">
        <v>-1015</v>
      </c>
      <c r="O89" s="184"/>
      <c r="P89" s="183">
        <v>1264.6600000000001</v>
      </c>
      <c r="Q89" s="184"/>
      <c r="R89" s="183">
        <v>43.92</v>
      </c>
      <c r="S89" s="184"/>
      <c r="T89" s="183">
        <v>417.24</v>
      </c>
      <c r="U89" s="184"/>
      <c r="V89" s="183">
        <v>683.53</v>
      </c>
      <c r="W89" s="184"/>
      <c r="X89" s="183">
        <v>350.66</v>
      </c>
      <c r="Y89" s="184"/>
      <c r="Z89" s="183">
        <v>7</v>
      </c>
      <c r="AA89" s="184"/>
      <c r="AB89" s="183">
        <v>0</v>
      </c>
      <c r="AC89" s="184"/>
      <c r="AD89" s="183">
        <v>0</v>
      </c>
      <c r="AE89" s="184"/>
      <c r="AF89" s="183">
        <f t="shared" si="3"/>
        <v>13656.45</v>
      </c>
    </row>
    <row r="90" spans="1:32">
      <c r="A90" s="182"/>
      <c r="B90" s="182"/>
      <c r="C90" s="182"/>
      <c r="D90" s="182"/>
      <c r="E90" s="182"/>
      <c r="F90" s="182" t="s">
        <v>238</v>
      </c>
      <c r="G90" s="182"/>
      <c r="H90" s="183">
        <v>362.66</v>
      </c>
      <c r="I90" s="184"/>
      <c r="J90" s="183">
        <v>781.42</v>
      </c>
      <c r="K90" s="184"/>
      <c r="L90" s="183">
        <v>586.77</v>
      </c>
      <c r="M90" s="184"/>
      <c r="N90" s="183">
        <v>884.65</v>
      </c>
      <c r="O90" s="184"/>
      <c r="P90" s="183">
        <v>521.16999999999996</v>
      </c>
      <c r="Q90" s="184"/>
      <c r="R90" s="183">
        <v>492.46</v>
      </c>
      <c r="S90" s="184"/>
      <c r="T90" s="183">
        <v>618.66</v>
      </c>
      <c r="U90" s="184"/>
      <c r="V90" s="183">
        <v>1337.65</v>
      </c>
      <c r="W90" s="184"/>
      <c r="X90" s="183">
        <v>300.99</v>
      </c>
      <c r="Y90" s="184"/>
      <c r="Z90" s="183">
        <v>478.84</v>
      </c>
      <c r="AA90" s="184"/>
      <c r="AB90" s="183">
        <v>0</v>
      </c>
      <c r="AC90" s="184"/>
      <c r="AD90" s="183">
        <v>0</v>
      </c>
      <c r="AE90" s="184"/>
      <c r="AF90" s="183">
        <f t="shared" si="3"/>
        <v>6365.27</v>
      </c>
    </row>
    <row r="91" spans="1:32">
      <c r="A91" s="182"/>
      <c r="B91" s="182"/>
      <c r="C91" s="182"/>
      <c r="D91" s="182"/>
      <c r="E91" s="182"/>
      <c r="F91" s="182" t="s">
        <v>239</v>
      </c>
      <c r="G91" s="182"/>
      <c r="H91" s="183">
        <v>0</v>
      </c>
      <c r="I91" s="184"/>
      <c r="J91" s="183">
        <v>0</v>
      </c>
      <c r="K91" s="184"/>
      <c r="L91" s="183">
        <v>0</v>
      </c>
      <c r="M91" s="184"/>
      <c r="N91" s="183">
        <v>0</v>
      </c>
      <c r="O91" s="184"/>
      <c r="P91" s="183">
        <v>200</v>
      </c>
      <c r="Q91" s="184"/>
      <c r="R91" s="183">
        <v>625</v>
      </c>
      <c r="S91" s="184"/>
      <c r="T91" s="183">
        <v>0</v>
      </c>
      <c r="U91" s="184"/>
      <c r="V91" s="183">
        <v>0</v>
      </c>
      <c r="W91" s="184"/>
      <c r="X91" s="183">
        <v>0</v>
      </c>
      <c r="Y91" s="184"/>
      <c r="Z91" s="183">
        <v>0</v>
      </c>
      <c r="AA91" s="184"/>
      <c r="AB91" s="183">
        <v>0</v>
      </c>
      <c r="AC91" s="184"/>
      <c r="AD91" s="183">
        <v>0</v>
      </c>
      <c r="AE91" s="184"/>
      <c r="AF91" s="183">
        <f t="shared" si="3"/>
        <v>825</v>
      </c>
    </row>
    <row r="92" spans="1:32">
      <c r="A92" s="182"/>
      <c r="B92" s="182"/>
      <c r="C92" s="182"/>
      <c r="D92" s="182"/>
      <c r="E92" s="182"/>
      <c r="F92" s="182" t="s">
        <v>240</v>
      </c>
      <c r="G92" s="182"/>
      <c r="H92" s="183">
        <v>158.13999999999999</v>
      </c>
      <c r="I92" s="184"/>
      <c r="J92" s="183">
        <v>0</v>
      </c>
      <c r="K92" s="184"/>
      <c r="L92" s="183">
        <v>0</v>
      </c>
      <c r="M92" s="184"/>
      <c r="N92" s="183">
        <v>0</v>
      </c>
      <c r="O92" s="184"/>
      <c r="P92" s="183">
        <v>0</v>
      </c>
      <c r="Q92" s="184"/>
      <c r="R92" s="183">
        <v>0</v>
      </c>
      <c r="S92" s="184"/>
      <c r="T92" s="183">
        <v>0</v>
      </c>
      <c r="U92" s="184"/>
      <c r="V92" s="183">
        <v>0</v>
      </c>
      <c r="W92" s="184"/>
      <c r="X92" s="183">
        <v>0</v>
      </c>
      <c r="Y92" s="184"/>
      <c r="Z92" s="183">
        <v>0</v>
      </c>
      <c r="AA92" s="184"/>
      <c r="AB92" s="183">
        <v>0</v>
      </c>
      <c r="AC92" s="184"/>
      <c r="AD92" s="183">
        <v>0</v>
      </c>
      <c r="AE92" s="184"/>
      <c r="AF92" s="183">
        <f t="shared" si="3"/>
        <v>158.13999999999999</v>
      </c>
    </row>
    <row r="93" spans="1:32">
      <c r="A93" s="182"/>
      <c r="B93" s="182"/>
      <c r="C93" s="182"/>
      <c r="D93" s="182"/>
      <c r="E93" s="182"/>
      <c r="F93" s="182" t="s">
        <v>241</v>
      </c>
      <c r="G93" s="182"/>
      <c r="H93" s="183">
        <v>0</v>
      </c>
      <c r="I93" s="184"/>
      <c r="J93" s="183">
        <v>0</v>
      </c>
      <c r="K93" s="184"/>
      <c r="L93" s="183">
        <v>0</v>
      </c>
      <c r="M93" s="184"/>
      <c r="N93" s="183">
        <v>0</v>
      </c>
      <c r="O93" s="184"/>
      <c r="P93" s="183">
        <v>0</v>
      </c>
      <c r="Q93" s="184"/>
      <c r="R93" s="183">
        <v>0</v>
      </c>
      <c r="S93" s="184"/>
      <c r="T93" s="183">
        <v>0</v>
      </c>
      <c r="U93" s="184"/>
      <c r="V93" s="183">
        <v>12.89</v>
      </c>
      <c r="W93" s="184"/>
      <c r="X93" s="183">
        <v>0</v>
      </c>
      <c r="Y93" s="184"/>
      <c r="Z93" s="183">
        <v>0</v>
      </c>
      <c r="AA93" s="184"/>
      <c r="AB93" s="183">
        <v>0</v>
      </c>
      <c r="AC93" s="184"/>
      <c r="AD93" s="183">
        <v>0</v>
      </c>
      <c r="AE93" s="184"/>
      <c r="AF93" s="183">
        <f t="shared" si="3"/>
        <v>12.89</v>
      </c>
    </row>
    <row r="94" spans="1:32">
      <c r="A94" s="182"/>
      <c r="B94" s="182"/>
      <c r="C94" s="182"/>
      <c r="D94" s="182"/>
      <c r="E94" s="182"/>
      <c r="F94" s="182" t="s">
        <v>242</v>
      </c>
      <c r="G94" s="182"/>
      <c r="H94" s="183">
        <v>0</v>
      </c>
      <c r="I94" s="184"/>
      <c r="J94" s="183">
        <v>252.52</v>
      </c>
      <c r="K94" s="184"/>
      <c r="L94" s="183">
        <v>8.98</v>
      </c>
      <c r="M94" s="184"/>
      <c r="N94" s="183">
        <v>0</v>
      </c>
      <c r="O94" s="184"/>
      <c r="P94" s="183">
        <v>0</v>
      </c>
      <c r="Q94" s="184"/>
      <c r="R94" s="183">
        <v>25.71</v>
      </c>
      <c r="S94" s="184"/>
      <c r="T94" s="183">
        <v>0</v>
      </c>
      <c r="U94" s="184"/>
      <c r="V94" s="183">
        <v>0</v>
      </c>
      <c r="W94" s="184"/>
      <c r="X94" s="183">
        <v>0</v>
      </c>
      <c r="Y94" s="184"/>
      <c r="Z94" s="183">
        <v>0</v>
      </c>
      <c r="AA94" s="184"/>
      <c r="AB94" s="183">
        <v>0</v>
      </c>
      <c r="AC94" s="184"/>
      <c r="AD94" s="183">
        <v>0</v>
      </c>
      <c r="AE94" s="184"/>
      <c r="AF94" s="183">
        <f t="shared" si="3"/>
        <v>287.20999999999998</v>
      </c>
    </row>
    <row r="95" spans="1:32">
      <c r="A95" s="182"/>
      <c r="B95" s="182"/>
      <c r="C95" s="182"/>
      <c r="D95" s="182"/>
      <c r="E95" s="182"/>
      <c r="F95" s="182" t="s">
        <v>243</v>
      </c>
      <c r="G95" s="182"/>
      <c r="H95" s="183">
        <v>0</v>
      </c>
      <c r="I95" s="184"/>
      <c r="J95" s="183">
        <v>-55</v>
      </c>
      <c r="K95" s="184"/>
      <c r="L95" s="183">
        <v>0</v>
      </c>
      <c r="M95" s="184"/>
      <c r="N95" s="183">
        <v>0</v>
      </c>
      <c r="O95" s="184"/>
      <c r="P95" s="183">
        <v>0</v>
      </c>
      <c r="Q95" s="184"/>
      <c r="R95" s="183">
        <v>0</v>
      </c>
      <c r="S95" s="184"/>
      <c r="T95" s="183">
        <v>0</v>
      </c>
      <c r="U95" s="184"/>
      <c r="V95" s="183">
        <v>0</v>
      </c>
      <c r="W95" s="184"/>
      <c r="X95" s="183">
        <v>0</v>
      </c>
      <c r="Y95" s="184"/>
      <c r="Z95" s="183">
        <v>0</v>
      </c>
      <c r="AA95" s="184"/>
      <c r="AB95" s="183">
        <v>0</v>
      </c>
      <c r="AC95" s="184"/>
      <c r="AD95" s="183">
        <v>0</v>
      </c>
      <c r="AE95" s="184"/>
      <c r="AF95" s="183">
        <f t="shared" si="3"/>
        <v>-55</v>
      </c>
    </row>
    <row r="96" spans="1:32" ht="15" thickBot="1">
      <c r="A96" s="182"/>
      <c r="B96" s="182"/>
      <c r="C96" s="182"/>
      <c r="D96" s="182"/>
      <c r="E96" s="182"/>
      <c r="F96" s="182" t="s">
        <v>244</v>
      </c>
      <c r="G96" s="182"/>
      <c r="H96" s="185">
        <v>2091.04</v>
      </c>
      <c r="I96" s="184"/>
      <c r="J96" s="185">
        <v>100</v>
      </c>
      <c r="K96" s="184"/>
      <c r="L96" s="185">
        <v>153.69999999999999</v>
      </c>
      <c r="M96" s="184"/>
      <c r="N96" s="185">
        <v>28.76</v>
      </c>
      <c r="O96" s="184"/>
      <c r="P96" s="185">
        <v>0</v>
      </c>
      <c r="Q96" s="184"/>
      <c r="R96" s="185">
        <v>1316.59</v>
      </c>
      <c r="S96" s="184"/>
      <c r="T96" s="185">
        <v>410.91</v>
      </c>
      <c r="U96" s="184"/>
      <c r="V96" s="185">
        <v>416.41</v>
      </c>
      <c r="W96" s="184"/>
      <c r="X96" s="185">
        <v>444.26</v>
      </c>
      <c r="Y96" s="184"/>
      <c r="Z96" s="185">
        <v>0</v>
      </c>
      <c r="AA96" s="184"/>
      <c r="AB96" s="185">
        <v>0</v>
      </c>
      <c r="AC96" s="184"/>
      <c r="AD96" s="185">
        <v>0</v>
      </c>
      <c r="AE96" s="184"/>
      <c r="AF96" s="185">
        <f t="shared" si="3"/>
        <v>4961.67</v>
      </c>
    </row>
    <row r="97" spans="1:32">
      <c r="A97" s="182"/>
      <c r="B97" s="182"/>
      <c r="C97" s="182"/>
      <c r="D97" s="182"/>
      <c r="E97" s="182" t="s">
        <v>245</v>
      </c>
      <c r="F97" s="182"/>
      <c r="G97" s="182"/>
      <c r="H97" s="183">
        <f>ROUND(SUM(H87:H96),5)</f>
        <v>12665.38</v>
      </c>
      <c r="I97" s="184"/>
      <c r="J97" s="183">
        <f>ROUND(SUM(J87:J96),5)</f>
        <v>38000.97</v>
      </c>
      <c r="K97" s="184"/>
      <c r="L97" s="183">
        <f>ROUND(SUM(L87:L96),5)</f>
        <v>2668.32</v>
      </c>
      <c r="M97" s="184"/>
      <c r="N97" s="183">
        <f>ROUND(SUM(N87:N96),5)</f>
        <v>-1619.26</v>
      </c>
      <c r="O97" s="184"/>
      <c r="P97" s="183">
        <f>ROUND(SUM(P87:P96),5)</f>
        <v>3071.83</v>
      </c>
      <c r="Q97" s="184"/>
      <c r="R97" s="183">
        <f>ROUND(SUM(R87:R96),5)</f>
        <v>2718.61</v>
      </c>
      <c r="S97" s="184"/>
      <c r="T97" s="183">
        <f>ROUND(SUM(T87:T96),5)</f>
        <v>1446.81</v>
      </c>
      <c r="U97" s="184"/>
      <c r="V97" s="183">
        <f>ROUND(SUM(V87:V96),5)</f>
        <v>2471.09</v>
      </c>
      <c r="W97" s="184"/>
      <c r="X97" s="183">
        <f>ROUND(SUM(X87:X96),5)</f>
        <v>1095.9100000000001</v>
      </c>
      <c r="Y97" s="184"/>
      <c r="Z97" s="183">
        <f>ROUND(SUM(Z87:Z96),5)</f>
        <v>485.84</v>
      </c>
      <c r="AA97" s="184"/>
      <c r="AB97" s="183">
        <f>ROUND(SUM(AB87:AB96),5)</f>
        <v>0</v>
      </c>
      <c r="AC97" s="184"/>
      <c r="AD97" s="183">
        <f>ROUND(SUM(AD87:AD96),5)</f>
        <v>0</v>
      </c>
      <c r="AE97" s="184"/>
      <c r="AF97" s="183">
        <f t="shared" si="3"/>
        <v>63005.5</v>
      </c>
    </row>
    <row r="98" spans="1:32">
      <c r="A98" s="182"/>
      <c r="B98" s="182"/>
      <c r="C98" s="182"/>
      <c r="D98" s="182"/>
      <c r="E98" s="182" t="s">
        <v>246</v>
      </c>
      <c r="F98" s="182"/>
      <c r="G98" s="182"/>
      <c r="H98" s="183"/>
      <c r="I98" s="184"/>
      <c r="J98" s="183"/>
      <c r="K98" s="184"/>
      <c r="L98" s="183"/>
      <c r="M98" s="184"/>
      <c r="N98" s="183"/>
      <c r="O98" s="184"/>
      <c r="P98" s="183"/>
      <c r="Q98" s="184"/>
      <c r="R98" s="183"/>
      <c r="S98" s="184"/>
      <c r="T98" s="183"/>
      <c r="U98" s="184"/>
      <c r="V98" s="183"/>
      <c r="W98" s="184"/>
      <c r="X98" s="183"/>
      <c r="Y98" s="184"/>
      <c r="Z98" s="183"/>
      <c r="AA98" s="184"/>
      <c r="AB98" s="183"/>
      <c r="AC98" s="184"/>
      <c r="AD98" s="183"/>
      <c r="AE98" s="184"/>
      <c r="AF98" s="183"/>
    </row>
    <row r="99" spans="1:32">
      <c r="A99" s="182"/>
      <c r="B99" s="182"/>
      <c r="C99" s="182"/>
      <c r="D99" s="182"/>
      <c r="E99" s="182"/>
      <c r="F99" s="182" t="s">
        <v>247</v>
      </c>
      <c r="G99" s="182"/>
      <c r="H99" s="183">
        <v>113.68</v>
      </c>
      <c r="I99" s="184"/>
      <c r="J99" s="183">
        <v>82.19</v>
      </c>
      <c r="K99" s="184"/>
      <c r="L99" s="183">
        <v>99.57</v>
      </c>
      <c r="M99" s="184"/>
      <c r="N99" s="183">
        <v>112.75</v>
      </c>
      <c r="O99" s="184"/>
      <c r="P99" s="183">
        <v>179.02</v>
      </c>
      <c r="Q99" s="184"/>
      <c r="R99" s="183">
        <v>92.25</v>
      </c>
      <c r="S99" s="184"/>
      <c r="T99" s="183">
        <v>83.47</v>
      </c>
      <c r="U99" s="184"/>
      <c r="V99" s="183">
        <v>89.75</v>
      </c>
      <c r="W99" s="184"/>
      <c r="X99" s="183">
        <v>102.74</v>
      </c>
      <c r="Y99" s="184"/>
      <c r="Z99" s="183">
        <v>28.35</v>
      </c>
      <c r="AA99" s="184"/>
      <c r="AB99" s="183">
        <v>0</v>
      </c>
      <c r="AC99" s="184"/>
      <c r="AD99" s="183">
        <v>0</v>
      </c>
      <c r="AE99" s="184"/>
      <c r="AF99" s="183">
        <f t="shared" ref="AF99:AF107" si="4">ROUND(SUM(H99:AD99),5)</f>
        <v>983.77</v>
      </c>
    </row>
    <row r="100" spans="1:32">
      <c r="A100" s="182"/>
      <c r="B100" s="182"/>
      <c r="C100" s="182"/>
      <c r="D100" s="182"/>
      <c r="E100" s="182"/>
      <c r="F100" s="182" t="s">
        <v>248</v>
      </c>
      <c r="G100" s="182"/>
      <c r="H100" s="183">
        <v>489.43</v>
      </c>
      <c r="I100" s="184"/>
      <c r="J100" s="183">
        <v>263.37</v>
      </c>
      <c r="K100" s="184"/>
      <c r="L100" s="183">
        <v>4.9800000000000004</v>
      </c>
      <c r="M100" s="184"/>
      <c r="N100" s="183">
        <v>0</v>
      </c>
      <c r="O100" s="184"/>
      <c r="P100" s="183">
        <v>2.4900000000000002</v>
      </c>
      <c r="Q100" s="184"/>
      <c r="R100" s="183">
        <v>179.38</v>
      </c>
      <c r="S100" s="184"/>
      <c r="T100" s="183">
        <v>19994.060000000001</v>
      </c>
      <c r="U100" s="184"/>
      <c r="V100" s="183">
        <v>352.49</v>
      </c>
      <c r="W100" s="184"/>
      <c r="X100" s="183">
        <v>2.4900000000000002</v>
      </c>
      <c r="Y100" s="184"/>
      <c r="Z100" s="183">
        <v>2.4900000000000002</v>
      </c>
      <c r="AA100" s="184"/>
      <c r="AB100" s="183">
        <v>0</v>
      </c>
      <c r="AC100" s="184"/>
      <c r="AD100" s="183">
        <v>0</v>
      </c>
      <c r="AE100" s="184"/>
      <c r="AF100" s="183">
        <f t="shared" si="4"/>
        <v>21291.18</v>
      </c>
    </row>
    <row r="101" spans="1:32">
      <c r="A101" s="182"/>
      <c r="B101" s="182"/>
      <c r="C101" s="182"/>
      <c r="D101" s="182"/>
      <c r="E101" s="182"/>
      <c r="F101" s="182" t="s">
        <v>249</v>
      </c>
      <c r="G101" s="182"/>
      <c r="H101" s="183">
        <v>0</v>
      </c>
      <c r="I101" s="184"/>
      <c r="J101" s="183">
        <v>0</v>
      </c>
      <c r="K101" s="184"/>
      <c r="L101" s="183">
        <v>0</v>
      </c>
      <c r="M101" s="184"/>
      <c r="N101" s="183">
        <v>574</v>
      </c>
      <c r="O101" s="184"/>
      <c r="P101" s="183">
        <v>0</v>
      </c>
      <c r="Q101" s="184"/>
      <c r="R101" s="183">
        <v>0</v>
      </c>
      <c r="S101" s="184"/>
      <c r="T101" s="183">
        <v>0</v>
      </c>
      <c r="U101" s="184"/>
      <c r="V101" s="183">
        <v>0</v>
      </c>
      <c r="W101" s="184"/>
      <c r="X101" s="183">
        <v>0</v>
      </c>
      <c r="Y101" s="184"/>
      <c r="Z101" s="183">
        <v>0</v>
      </c>
      <c r="AA101" s="184"/>
      <c r="AB101" s="183">
        <v>0</v>
      </c>
      <c r="AC101" s="184"/>
      <c r="AD101" s="183">
        <v>0</v>
      </c>
      <c r="AE101" s="184"/>
      <c r="AF101" s="183">
        <f t="shared" si="4"/>
        <v>574</v>
      </c>
    </row>
    <row r="102" spans="1:32">
      <c r="A102" s="182"/>
      <c r="B102" s="182"/>
      <c r="C102" s="182"/>
      <c r="D102" s="182"/>
      <c r="E102" s="182"/>
      <c r="F102" s="182" t="s">
        <v>250</v>
      </c>
      <c r="G102" s="182"/>
      <c r="H102" s="183">
        <v>257</v>
      </c>
      <c r="I102" s="184"/>
      <c r="J102" s="183">
        <v>0</v>
      </c>
      <c r="K102" s="184"/>
      <c r="L102" s="183">
        <v>0</v>
      </c>
      <c r="M102" s="184"/>
      <c r="N102" s="183">
        <v>0</v>
      </c>
      <c r="O102" s="184"/>
      <c r="P102" s="183">
        <v>0</v>
      </c>
      <c r="Q102" s="184"/>
      <c r="R102" s="183">
        <v>0</v>
      </c>
      <c r="S102" s="184"/>
      <c r="T102" s="183">
        <v>0</v>
      </c>
      <c r="U102" s="184"/>
      <c r="V102" s="183">
        <v>0</v>
      </c>
      <c r="W102" s="184"/>
      <c r="X102" s="183">
        <v>0</v>
      </c>
      <c r="Y102" s="184"/>
      <c r="Z102" s="183">
        <v>0</v>
      </c>
      <c r="AA102" s="184"/>
      <c r="AB102" s="183">
        <v>0</v>
      </c>
      <c r="AC102" s="184"/>
      <c r="AD102" s="183">
        <v>0</v>
      </c>
      <c r="AE102" s="184"/>
      <c r="AF102" s="183">
        <f t="shared" si="4"/>
        <v>257</v>
      </c>
    </row>
    <row r="103" spans="1:32" ht="15" thickBot="1">
      <c r="A103" s="182"/>
      <c r="B103" s="182"/>
      <c r="C103" s="182"/>
      <c r="D103" s="182"/>
      <c r="E103" s="182"/>
      <c r="F103" s="182" t="s">
        <v>251</v>
      </c>
      <c r="G103" s="182"/>
      <c r="H103" s="183">
        <v>0</v>
      </c>
      <c r="I103" s="184"/>
      <c r="J103" s="183">
        <v>0</v>
      </c>
      <c r="K103" s="184"/>
      <c r="L103" s="183">
        <v>0</v>
      </c>
      <c r="M103" s="184"/>
      <c r="N103" s="183">
        <v>0</v>
      </c>
      <c r="O103" s="184"/>
      <c r="P103" s="183">
        <v>0</v>
      </c>
      <c r="Q103" s="184"/>
      <c r="R103" s="183">
        <v>0</v>
      </c>
      <c r="S103" s="184"/>
      <c r="T103" s="183">
        <v>0</v>
      </c>
      <c r="U103" s="184"/>
      <c r="V103" s="183">
        <v>120</v>
      </c>
      <c r="W103" s="184"/>
      <c r="X103" s="183">
        <v>0</v>
      </c>
      <c r="Y103" s="184"/>
      <c r="Z103" s="183">
        <v>0</v>
      </c>
      <c r="AA103" s="184"/>
      <c r="AB103" s="183">
        <v>0</v>
      </c>
      <c r="AC103" s="184"/>
      <c r="AD103" s="183">
        <v>0</v>
      </c>
      <c r="AE103" s="184"/>
      <c r="AF103" s="183">
        <f t="shared" si="4"/>
        <v>120</v>
      </c>
    </row>
    <row r="104" spans="1:32" ht="15" thickBot="1">
      <c r="A104" s="182"/>
      <c r="B104" s="182"/>
      <c r="C104" s="182"/>
      <c r="D104" s="182"/>
      <c r="E104" s="182" t="s">
        <v>252</v>
      </c>
      <c r="F104" s="182"/>
      <c r="G104" s="182"/>
      <c r="H104" s="187">
        <f>ROUND(SUM(H98:H103),5)</f>
        <v>860.11</v>
      </c>
      <c r="I104" s="184"/>
      <c r="J104" s="187">
        <f>ROUND(SUM(J98:J103),5)</f>
        <v>345.56</v>
      </c>
      <c r="K104" s="184"/>
      <c r="L104" s="187">
        <f>ROUND(SUM(L98:L103),5)</f>
        <v>104.55</v>
      </c>
      <c r="M104" s="184"/>
      <c r="N104" s="187">
        <f>ROUND(SUM(N98:N103),5)</f>
        <v>686.75</v>
      </c>
      <c r="O104" s="184"/>
      <c r="P104" s="187">
        <f>ROUND(SUM(P98:P103),5)</f>
        <v>181.51</v>
      </c>
      <c r="Q104" s="184"/>
      <c r="R104" s="187">
        <f>ROUND(SUM(R98:R103),5)</f>
        <v>271.63</v>
      </c>
      <c r="S104" s="184"/>
      <c r="T104" s="187">
        <f>ROUND(SUM(T98:T103),5)</f>
        <v>20077.53</v>
      </c>
      <c r="U104" s="184"/>
      <c r="V104" s="187">
        <f>ROUND(SUM(V98:V103),5)</f>
        <v>562.24</v>
      </c>
      <c r="W104" s="184"/>
      <c r="X104" s="187">
        <f>ROUND(SUM(X98:X103),5)</f>
        <v>105.23</v>
      </c>
      <c r="Y104" s="184"/>
      <c r="Z104" s="187">
        <f>ROUND(SUM(Z98:Z103),5)</f>
        <v>30.84</v>
      </c>
      <c r="AA104" s="184"/>
      <c r="AB104" s="187">
        <f>ROUND(SUM(AB98:AB103),5)</f>
        <v>0</v>
      </c>
      <c r="AC104" s="184"/>
      <c r="AD104" s="187">
        <f>ROUND(SUM(AD98:AD103),5)</f>
        <v>0</v>
      </c>
      <c r="AE104" s="184"/>
      <c r="AF104" s="187">
        <f t="shared" si="4"/>
        <v>23225.95</v>
      </c>
    </row>
    <row r="105" spans="1:32" ht="15" thickBot="1">
      <c r="A105" s="182"/>
      <c r="B105" s="182"/>
      <c r="C105" s="182"/>
      <c r="D105" s="182" t="s">
        <v>253</v>
      </c>
      <c r="E105" s="182"/>
      <c r="F105" s="182"/>
      <c r="G105" s="182"/>
      <c r="H105" s="187">
        <f>ROUND(H25+H39+H47+H86+H97+H104,5)</f>
        <v>262439</v>
      </c>
      <c r="I105" s="184"/>
      <c r="J105" s="187">
        <f>ROUND(J25+J39+J47+J86+J97+J104,5)</f>
        <v>257020.86</v>
      </c>
      <c r="K105" s="184"/>
      <c r="L105" s="187">
        <f>ROUND(L25+L39+L47+L86+L97+L104,5)</f>
        <v>281144.15999999997</v>
      </c>
      <c r="M105" s="184"/>
      <c r="N105" s="187">
        <f>ROUND(N25+N39+N47+N86+N97+N104,5)</f>
        <v>306411.82</v>
      </c>
      <c r="O105" s="184"/>
      <c r="P105" s="187">
        <f>ROUND(P25+P39+P47+P86+P97+P104,5)</f>
        <v>219247.45</v>
      </c>
      <c r="Q105" s="184"/>
      <c r="R105" s="187">
        <f>ROUND(R25+R39+R47+R86+R97+R104,5)</f>
        <v>244174.53</v>
      </c>
      <c r="S105" s="184"/>
      <c r="T105" s="187">
        <f>ROUND(T25+T39+T47+T86+T97+T104,5)</f>
        <v>261753.66</v>
      </c>
      <c r="U105" s="184"/>
      <c r="V105" s="187">
        <f>ROUND(V25+V39+V47+V86+V97+V104,5)</f>
        <v>279113.23</v>
      </c>
      <c r="W105" s="184"/>
      <c r="X105" s="187">
        <f>ROUND(X25+X39+X47+X86+X97+X104,5)</f>
        <v>213524.75</v>
      </c>
      <c r="Y105" s="184"/>
      <c r="Z105" s="187">
        <f>ROUND(Z25+Z39+Z47+Z86+Z97+Z104,5)</f>
        <v>225502.37</v>
      </c>
      <c r="AA105" s="184"/>
      <c r="AB105" s="187">
        <f>ROUND(AB25+AB39+AB47+AB86+AB97+AB104,5)</f>
        <v>215416.95</v>
      </c>
      <c r="AC105" s="184"/>
      <c r="AD105" s="187">
        <f>ROUND(AD25+AD39+AD47+AD86+AD97+AD104,5)</f>
        <v>197720.95</v>
      </c>
      <c r="AE105" s="184"/>
      <c r="AF105" s="187">
        <f t="shared" si="4"/>
        <v>2963469.73</v>
      </c>
    </row>
    <row r="106" spans="1:32" ht="15" thickBot="1">
      <c r="A106" s="182"/>
      <c r="B106" s="182" t="s">
        <v>254</v>
      </c>
      <c r="C106" s="182"/>
      <c r="D106" s="182"/>
      <c r="E106" s="182"/>
      <c r="F106" s="182"/>
      <c r="G106" s="182"/>
      <c r="H106" s="187">
        <f>ROUND(H2+H24-H105,5)</f>
        <v>-124069.81</v>
      </c>
      <c r="I106" s="184"/>
      <c r="J106" s="187">
        <f>ROUND(J2+J24-J105,5)</f>
        <v>-29355.09</v>
      </c>
      <c r="K106" s="184"/>
      <c r="L106" s="187">
        <f>ROUND(L2+L24-L105,5)</f>
        <v>17820.990000000002</v>
      </c>
      <c r="M106" s="184"/>
      <c r="N106" s="187">
        <f>ROUND(N2+N24-N105,5)</f>
        <v>23338.26</v>
      </c>
      <c r="O106" s="184"/>
      <c r="P106" s="187">
        <f>ROUND(P2+P24-P105,5)</f>
        <v>64451.5</v>
      </c>
      <c r="Q106" s="184"/>
      <c r="R106" s="187">
        <f>ROUND(R2+R24-R105,5)</f>
        <v>25596.52</v>
      </c>
      <c r="S106" s="184"/>
      <c r="T106" s="187">
        <f>ROUND(T2+T24-T105,5)</f>
        <v>-17577.310000000001</v>
      </c>
      <c r="U106" s="184"/>
      <c r="V106" s="187">
        <f>ROUND(V2+V24-V105,5)</f>
        <v>-37121.51</v>
      </c>
      <c r="W106" s="184"/>
      <c r="X106" s="187">
        <f>ROUND(X2+X24-X105,5)</f>
        <v>-33427.49</v>
      </c>
      <c r="Y106" s="184"/>
      <c r="Z106" s="187">
        <f>ROUND(Z2+Z24-Z105,5)</f>
        <v>63351.14</v>
      </c>
      <c r="AA106" s="184"/>
      <c r="AB106" s="187">
        <f>ROUND(AB2+AB24-AB105,5)</f>
        <v>12508.88</v>
      </c>
      <c r="AC106" s="184"/>
      <c r="AD106" s="187">
        <f>ROUND(AD2+AD24-AD105,5)</f>
        <v>35104.89</v>
      </c>
      <c r="AE106" s="184"/>
      <c r="AF106" s="187">
        <f t="shared" si="4"/>
        <v>620.97</v>
      </c>
    </row>
    <row r="107" spans="1:32" s="189" customFormat="1" ht="11.1" thickBot="1">
      <c r="A107" s="182" t="s">
        <v>255</v>
      </c>
      <c r="B107" s="182"/>
      <c r="C107" s="182"/>
      <c r="D107" s="182"/>
      <c r="E107" s="182"/>
      <c r="F107" s="182"/>
      <c r="G107" s="182"/>
      <c r="H107" s="188">
        <f>H106</f>
        <v>-124069.81</v>
      </c>
      <c r="I107" s="182"/>
      <c r="J107" s="188">
        <f>J106</f>
        <v>-29355.09</v>
      </c>
      <c r="K107" s="182"/>
      <c r="L107" s="188">
        <f>L106</f>
        <v>17820.990000000002</v>
      </c>
      <c r="M107" s="182"/>
      <c r="N107" s="188">
        <f>N106</f>
        <v>23338.26</v>
      </c>
      <c r="O107" s="182"/>
      <c r="P107" s="188">
        <f>P106</f>
        <v>64451.5</v>
      </c>
      <c r="Q107" s="182"/>
      <c r="R107" s="188">
        <f>R106</f>
        <v>25596.52</v>
      </c>
      <c r="S107" s="182"/>
      <c r="T107" s="188">
        <f>T106</f>
        <v>-17577.310000000001</v>
      </c>
      <c r="U107" s="182"/>
      <c r="V107" s="188">
        <f>V106</f>
        <v>-37121.51</v>
      </c>
      <c r="W107" s="182"/>
      <c r="X107" s="188">
        <f>X106</f>
        <v>-33427.49</v>
      </c>
      <c r="Y107" s="182"/>
      <c r="Z107" s="188">
        <f>Z106</f>
        <v>63351.14</v>
      </c>
      <c r="AA107" s="182"/>
      <c r="AB107" s="188">
        <f>AB106</f>
        <v>12508.88</v>
      </c>
      <c r="AC107" s="182"/>
      <c r="AD107" s="188">
        <f>AD106</f>
        <v>35104.89</v>
      </c>
      <c r="AE107" s="182"/>
      <c r="AF107" s="188">
        <f t="shared" si="4"/>
        <v>620.97</v>
      </c>
    </row>
    <row r="108" spans="1:32" ht="15" thickTop="1"/>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BF21DE3D2848B648928D8957C2E638B7" ma:contentTypeVersion="19" ma:contentTypeDescription="Create a new document." ma:contentTypeScope="" ma:versionID="944a1a44f7f57374a75442ac0be9410a">
  <xsd:schema xmlns:xsd="http://www.w3.org/2001/XMLSchema" xmlns:xs="http://www.w3.org/2001/XMLSchema" xmlns:p="http://schemas.microsoft.com/office/2006/metadata/properties" xmlns:ns2="682f5410-9528-4dbf-953e-06b19604bfcc" xmlns:ns3="22fc92a4-2d4b-4a6c-8d09-3c6205f3fc06" targetNamespace="http://schemas.microsoft.com/office/2006/metadata/properties" ma:root="true" ma:fieldsID="9c90b1d339eda11c400d4bbce03eb03c" ns2:_="" ns3:_="">
    <xsd:import namespace="682f5410-9528-4dbf-953e-06b19604bfcc"/>
    <xsd:import namespace="22fc92a4-2d4b-4a6c-8d09-3c6205f3fc0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2f5410-9528-4dbf-953e-06b19604bfc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6888afee-3ed9-4001-a5c3-ce7939f61fca}" ma:internalName="TaxCatchAll" ma:showField="CatchAllData" ma:web="682f5410-9528-4dbf-953e-06b19604bfcc">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fc92a4-2d4b-4a6c-8d09-3c6205f3fc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847e17-e9f7-49bd-b85f-20f79e8f48f6"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682f5410-9528-4dbf-953e-06b19604bfcc" xsi:nil="true"/>
    <lcf76f155ced4ddcb4097134ff3c332f xmlns="22fc92a4-2d4b-4a6c-8d09-3c6205f3fc06">
      <Terms xmlns="http://schemas.microsoft.com/office/infopath/2007/PartnerControls"/>
    </lcf76f155ced4ddcb4097134ff3c332f>
    <_dlc_DocId xmlns="682f5410-9528-4dbf-953e-06b19604bfcc">4ACVR65RP5MX-1696420833-539000</_dlc_DocId>
    <_dlc_DocIdUrl xmlns="682f5410-9528-4dbf-953e-06b19604bfcc">
      <Url>https://charterschoolspecialists.sharepoint.com/sites/CompanyShared/_layouts/15/DocIdRedir.aspx?ID=4ACVR65RP5MX-1696420833-539000</Url>
      <Description>4ACVR65RP5MX-1696420833-539000</Description>
    </_dlc_DocIdUrl>
  </documentManagement>
</p:properties>
</file>

<file path=customXml/itemProps1.xml><?xml version="1.0" encoding="utf-8"?>
<ds:datastoreItem xmlns:ds="http://schemas.openxmlformats.org/officeDocument/2006/customXml" ds:itemID="{FF70BA91-18E9-4D91-BA24-75DF3BF49BB0}"/>
</file>

<file path=customXml/itemProps2.xml><?xml version="1.0" encoding="utf-8"?>
<ds:datastoreItem xmlns:ds="http://schemas.openxmlformats.org/officeDocument/2006/customXml" ds:itemID="{B3F29582-66AF-4F2E-B28A-BC14249C6E9B}"/>
</file>

<file path=customXml/itemProps3.xml><?xml version="1.0" encoding="utf-8"?>
<ds:datastoreItem xmlns:ds="http://schemas.openxmlformats.org/officeDocument/2006/customXml" ds:itemID="{507E5F0B-C854-4112-B13A-37A6D8013D22}"/>
</file>

<file path=customXml/itemProps4.xml><?xml version="1.0" encoding="utf-8"?>
<ds:datastoreItem xmlns:ds="http://schemas.openxmlformats.org/officeDocument/2006/customXml" ds:itemID="{FA36A290-C4B6-45F6-B640-CBA8FD425C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Darlene Holt</dc:creator>
  <cp:keywords/>
  <dc:description/>
  <cp:lastModifiedBy>Michael Barnhart</cp:lastModifiedBy>
  <cp:revision/>
  <dcterms:created xsi:type="dcterms:W3CDTF">2023-10-20T12:49:19Z</dcterms:created>
  <dcterms:modified xsi:type="dcterms:W3CDTF">2024-05-18T17:47:54Z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0x010100BF21DE3D2848B648928D8957C2E638B7</vt:lpwstr>
  </property>
  <property fmtid="{D5CDD505-2E9C-101B-9397-08002B2CF9AE}" pid="3" name="_dlc_DocIdItemGuid">
    <vt:lpwstr>a8ea3e73-f55e-4dd6-bda0-e932f2dc8f32</vt:lpwstr>
  </property>
  <property fmtid="{D5CDD505-2E9C-101B-9397-08002B2CF9AE}" pid="4" name="MediaServiceImageTags">
    <vt:lpwstr/>
  </property>
</Properties>
</file>